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harbourenergyplc.sharepoint.com/sites/InvestorRelations-06Resources/Shared Documents/06 Knowledge/02 Finance/"/>
    </mc:Choice>
  </mc:AlternateContent>
  <xr:revisionPtr revIDLastSave="3389" documentId="8_{2B695DC0-2A3A-4940-8E50-527E74A8A453}" xr6:coauthVersionLast="47" xr6:coauthVersionMax="47" xr10:uidLastSave="{892AF56B-D89E-4DA7-B998-07A0528672AB}"/>
  <bookViews>
    <workbookView xWindow="25695" yWindow="0" windowWidth="26010" windowHeight="20985" xr2:uid="{45FE596F-3FFD-4A58-96EA-9DD1B2A83668}"/>
  </bookViews>
  <sheets>
    <sheet name="Financials" sheetId="1" r:id="rId1"/>
    <sheet name="Production, opex, capex" sheetId="2" r:id="rId2"/>
    <sheet name="Reserves and resources" sheetId="3" r:id="rId3"/>
    <sheet name="Realised prices" sheetId="4" r:id="rId4"/>
    <sheet name="Hedging" sheetId="6" r:id="rId5"/>
  </sheets>
  <calcPr calcId="191029" calcMode="manual"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4" i="1" l="1"/>
  <c r="I213" i="1"/>
  <c r="I187" i="1"/>
  <c r="I137" i="1"/>
  <c r="I127" i="1"/>
  <c r="I116" i="1"/>
  <c r="I104" i="1"/>
  <c r="I96" i="1"/>
  <c r="I67" i="1"/>
  <c r="I25" i="1"/>
  <c r="I21" i="1"/>
  <c r="I22" i="1"/>
  <c r="I23" i="1"/>
  <c r="I58" i="1"/>
  <c r="I50" i="1"/>
  <c r="I40" i="1"/>
  <c r="I18" i="1"/>
  <c r="I12" i="1"/>
  <c r="I226" i="1" l="1"/>
  <c r="I24" i="1"/>
  <c r="I118" i="1"/>
  <c r="I139" i="1"/>
  <c r="I106" i="1"/>
  <c r="I141" i="1"/>
  <c r="I26" i="1"/>
  <c r="I62" i="1" l="1"/>
  <c r="I69" i="1" s="1"/>
  <c r="I229" i="1"/>
  <c r="I231" i="1" l="1"/>
  <c r="I75" i="1"/>
  <c r="I71" i="1"/>
  <c r="I145" i="1"/>
  <c r="I173" i="1" l="1"/>
  <c r="I215" i="1"/>
  <c r="I233" i="1"/>
  <c r="J63" i="2"/>
  <c r="J64" i="2"/>
  <c r="J65" i="2"/>
  <c r="J66" i="2"/>
  <c r="J67" i="2"/>
  <c r="J68" i="2"/>
  <c r="J62" i="2"/>
  <c r="J58" i="2"/>
  <c r="J69" i="2" s="1"/>
  <c r="I58" i="2"/>
  <c r="I69" i="2" s="1"/>
  <c r="J36" i="2"/>
  <c r="J25" i="2"/>
  <c r="J14" i="2"/>
  <c r="I64" i="2" l="1"/>
  <c r="I65" i="2"/>
  <c r="I66" i="2"/>
  <c r="I67" i="2"/>
  <c r="I68" i="2"/>
  <c r="I62" i="2"/>
  <c r="I63" i="2"/>
  <c r="H58" i="2"/>
  <c r="J95" i="2" l="1"/>
  <c r="I86" i="2"/>
  <c r="J86" i="2"/>
  <c r="J88" i="2" s="1"/>
  <c r="H86" i="2" l="1"/>
  <c r="H88" i="2" s="1"/>
  <c r="H95" i="2"/>
  <c r="E86" i="2"/>
  <c r="G86" i="2"/>
  <c r="H35" i="2"/>
  <c r="H68" i="2" s="1"/>
  <c r="H30" i="2"/>
  <c r="H63" i="2" s="1"/>
  <c r="G35" i="2" l="1"/>
  <c r="G68" i="2" s="1"/>
  <c r="G30" i="2"/>
  <c r="G63" i="2" s="1"/>
  <c r="E35" i="2" l="1"/>
  <c r="E30" i="2"/>
  <c r="F35" i="2" l="1"/>
  <c r="F30" i="2"/>
  <c r="I14" i="2"/>
  <c r="H14" i="2"/>
  <c r="G14" i="2"/>
  <c r="F14" i="2"/>
  <c r="E14" i="2"/>
  <c r="I25" i="2"/>
  <c r="H25" i="2"/>
  <c r="G25" i="2"/>
  <c r="F25" i="2"/>
  <c r="E25" i="2"/>
  <c r="F36" i="2"/>
  <c r="G36" i="2"/>
  <c r="H36" i="2"/>
  <c r="H69" i="2" s="1"/>
  <c r="I36" i="2"/>
  <c r="E36" i="2"/>
  <c r="F95" i="2" l="1"/>
  <c r="H63" i="3"/>
  <c r="H61" i="3"/>
  <c r="H62" i="3" s="1"/>
  <c r="H58" i="3"/>
  <c r="H59" i="3" s="1"/>
  <c r="G63" i="3"/>
  <c r="F63" i="3"/>
  <c r="G61" i="3"/>
  <c r="G62" i="3" s="1"/>
  <c r="G58" i="3"/>
  <c r="G64" i="3" s="1"/>
  <c r="F61" i="3"/>
  <c r="F62" i="3" s="1"/>
  <c r="F59" i="3"/>
  <c r="F58" i="3"/>
  <c r="F32" i="3"/>
  <c r="F30" i="3"/>
  <c r="F31" i="3" s="1"/>
  <c r="F27" i="3"/>
  <c r="G32" i="3"/>
  <c r="G30" i="3"/>
  <c r="G31" i="3" s="1"/>
  <c r="G27" i="3"/>
  <c r="G33" i="3" s="1"/>
  <c r="I33" i="3"/>
  <c r="I32" i="3"/>
  <c r="I34" i="3" s="1"/>
  <c r="I65" i="3"/>
  <c r="I64" i="3"/>
  <c r="I63" i="3"/>
  <c r="I59" i="3"/>
  <c r="I56" i="3"/>
  <c r="I53" i="3"/>
  <c r="I50" i="3"/>
  <c r="I47" i="3"/>
  <c r="I44" i="3"/>
  <c r="I41" i="3"/>
  <c r="H33" i="3"/>
  <c r="H32" i="3"/>
  <c r="H34" i="3" s="1"/>
  <c r="H25" i="3"/>
  <c r="H28" i="3"/>
  <c r="I22" i="3"/>
  <c r="I28" i="3"/>
  <c r="I25" i="3"/>
  <c r="I10" i="3"/>
  <c r="I13" i="3"/>
  <c r="I16" i="3"/>
  <c r="I19" i="3"/>
  <c r="F85" i="2"/>
  <c r="F77" i="2"/>
  <c r="E88" i="2"/>
  <c r="E95" i="2"/>
  <c r="G95" i="2"/>
  <c r="G88" i="2"/>
  <c r="I95" i="2"/>
  <c r="I88" i="2"/>
  <c r="F69" i="2"/>
  <c r="G69" i="2"/>
  <c r="E69" i="2"/>
  <c r="G219" i="1"/>
  <c r="G224" i="1" s="1"/>
  <c r="G226" i="1" s="1"/>
  <c r="G229" i="1" s="1"/>
  <c r="G231" i="1" s="1"/>
  <c r="G213" i="1"/>
  <c r="G187" i="1"/>
  <c r="G137" i="1"/>
  <c r="G127" i="1"/>
  <c r="G139" i="1" s="1"/>
  <c r="G116" i="1"/>
  <c r="G118" i="1" s="1"/>
  <c r="G104" i="1"/>
  <c r="G96" i="1"/>
  <c r="G67" i="1"/>
  <c r="G58" i="1"/>
  <c r="G50" i="1"/>
  <c r="G40" i="1"/>
  <c r="G25" i="1"/>
  <c r="G24" i="1"/>
  <c r="G26" i="1" s="1"/>
  <c r="G106" i="1" l="1"/>
  <c r="F86" i="2"/>
  <c r="F88" i="2" s="1"/>
  <c r="G34" i="3"/>
  <c r="G65" i="3"/>
  <c r="H64" i="3"/>
  <c r="F33" i="3"/>
  <c r="F34" i="3" s="1"/>
  <c r="H65" i="3"/>
  <c r="F64" i="3"/>
  <c r="F65" i="3" s="1"/>
  <c r="G141" i="1"/>
  <c r="G62" i="1"/>
  <c r="G75" i="1" s="1"/>
  <c r="G59" i="3"/>
  <c r="F28" i="3"/>
  <c r="G28" i="3"/>
  <c r="D198" i="1"/>
  <c r="D197" i="1" s="1"/>
  <c r="D213" i="1" s="1"/>
  <c r="E198" i="1"/>
  <c r="E197" i="1"/>
  <c r="E213" i="1" s="1"/>
  <c r="E40" i="1"/>
  <c r="F40" i="1"/>
  <c r="H40" i="1"/>
  <c r="D39" i="1"/>
  <c r="D40" i="1" s="1"/>
  <c r="D25" i="1"/>
  <c r="D21" i="1"/>
  <c r="D22" i="1"/>
  <c r="D23" i="1"/>
  <c r="D187" i="1"/>
  <c r="E187" i="1"/>
  <c r="G69" i="1" l="1"/>
  <c r="G71" i="1"/>
  <c r="G145" i="1"/>
  <c r="G173" i="1" s="1"/>
  <c r="G233" i="1" s="1"/>
  <c r="D24" i="1"/>
  <c r="E137" i="1" l="1"/>
  <c r="D104" i="1"/>
  <c r="E104" i="1"/>
  <c r="D96" i="1"/>
  <c r="E96" i="1"/>
  <c r="F96" i="1"/>
  <c r="H96" i="1"/>
  <c r="D67" i="1"/>
  <c r="E67" i="1"/>
  <c r="F67" i="1"/>
  <c r="D50" i="1"/>
  <c r="E50" i="1"/>
  <c r="D58" i="1"/>
  <c r="E58" i="1"/>
  <c r="F50" i="1"/>
  <c r="H50" i="1"/>
  <c r="E25" i="1"/>
  <c r="E22" i="1"/>
  <c r="E23" i="1"/>
  <c r="E21" i="1"/>
  <c r="D12" i="1"/>
  <c r="E12" i="1"/>
  <c r="D18" i="1"/>
  <c r="E18" i="1"/>
  <c r="E24" i="1" l="1"/>
  <c r="H137" i="1"/>
  <c r="D137" i="1"/>
  <c r="F137" i="1"/>
  <c r="D127" i="1"/>
  <c r="E127" i="1"/>
  <c r="F127" i="1"/>
  <c r="H127" i="1"/>
  <c r="D116" i="1"/>
  <c r="D118" i="1" s="1"/>
  <c r="E116" i="1"/>
  <c r="E118" i="1" s="1"/>
  <c r="F116" i="1"/>
  <c r="F118" i="1" s="1"/>
  <c r="H116" i="1"/>
  <c r="H118" i="1" s="1"/>
  <c r="D106" i="1"/>
  <c r="E106" i="1"/>
  <c r="F104" i="1"/>
  <c r="F106" i="1" s="1"/>
  <c r="H104" i="1"/>
  <c r="H106" i="1" s="1"/>
  <c r="D139" i="1" l="1"/>
  <c r="D141" i="1" s="1"/>
  <c r="H139" i="1"/>
  <c r="H141" i="1" s="1"/>
  <c r="F139" i="1"/>
  <c r="F141" i="1" s="1"/>
  <c r="E139" i="1"/>
  <c r="E141" i="1" s="1"/>
  <c r="H67" i="1"/>
  <c r="F57" i="1"/>
  <c r="F58" i="1" s="1"/>
  <c r="H58" i="1"/>
  <c r="D26" i="1"/>
  <c r="D62" i="1" s="1"/>
  <c r="D75" i="1" s="1"/>
  <c r="E26" i="1"/>
  <c r="E62" i="1" s="1"/>
  <c r="E75" i="1" s="1"/>
  <c r="F10" i="1"/>
  <c r="F11" i="1"/>
  <c r="F9" i="1"/>
  <c r="F25" i="1"/>
  <c r="H25" i="1"/>
  <c r="D69" i="1" l="1"/>
  <c r="E69" i="1"/>
  <c r="F213" i="1"/>
  <c r="D219" i="1"/>
  <c r="D224" i="1" s="1"/>
  <c r="E219" i="1"/>
  <c r="E224" i="1" s="1"/>
  <c r="F219" i="1"/>
  <c r="H219" i="1"/>
  <c r="H224" i="1" s="1"/>
  <c r="H213" i="1"/>
  <c r="H187" i="1"/>
  <c r="F187" i="1"/>
  <c r="D145" i="1" l="1"/>
  <c r="D71" i="1"/>
  <c r="F224" i="1"/>
  <c r="F226" i="1" s="1"/>
  <c r="E145" i="1"/>
  <c r="E173" i="1" s="1"/>
  <c r="E233" i="1" s="1"/>
  <c r="E71" i="1"/>
  <c r="H226" i="1"/>
  <c r="H229" i="1" s="1"/>
  <c r="H231" i="1" s="1"/>
  <c r="E226" i="1"/>
  <c r="E229" i="1" s="1"/>
  <c r="E231" i="1" s="1"/>
  <c r="D226" i="1"/>
  <c r="D229" i="1" s="1"/>
  <c r="D231" i="1" s="1"/>
  <c r="F24" i="1"/>
  <c r="F26" i="1" s="1"/>
  <c r="F62" i="1" s="1"/>
  <c r="F75" i="1" s="1"/>
  <c r="F18" i="1"/>
  <c r="F12" i="1"/>
  <c r="H23" i="1"/>
  <c r="H22" i="1"/>
  <c r="H21" i="1"/>
  <c r="H18" i="1"/>
  <c r="H12" i="1"/>
  <c r="D173" i="1" l="1"/>
  <c r="D233" i="1" s="1"/>
  <c r="H24" i="1"/>
  <c r="H26" i="1" s="1"/>
  <c r="H62" i="1" s="1"/>
  <c r="H75" i="1" s="1"/>
  <c r="F229" i="1"/>
  <c r="F231" i="1" s="1"/>
  <c r="F69" i="1"/>
  <c r="H69" i="1" l="1"/>
  <c r="H71" i="1" s="1"/>
  <c r="F71" i="1"/>
  <c r="F145" i="1"/>
  <c r="F173" i="1" s="1"/>
  <c r="F233" i="1" s="1"/>
  <c r="H145" i="1" l="1"/>
  <c r="H173" i="1" s="1"/>
  <c r="H233" i="1" s="1"/>
</calcChain>
</file>

<file path=xl/sharedStrings.xml><?xml version="1.0" encoding="utf-8"?>
<sst xmlns="http://schemas.openxmlformats.org/spreadsheetml/2006/main" count="532" uniqueCount="274">
  <si>
    <t>Revenue and other income</t>
  </si>
  <si>
    <t>Oil sales</t>
  </si>
  <si>
    <t>Gas sales</t>
  </si>
  <si>
    <t xml:space="preserve">Condensate sales </t>
  </si>
  <si>
    <t xml:space="preserve">Total </t>
  </si>
  <si>
    <t>Hedging gains (losses) ($m)</t>
  </si>
  <si>
    <t xml:space="preserve">Oil </t>
  </si>
  <si>
    <t>Gas</t>
  </si>
  <si>
    <t>Condensate</t>
  </si>
  <si>
    <t>Revenue, post-hedge</t>
  </si>
  <si>
    <t>Total revenue from production activities</t>
  </si>
  <si>
    <t>Tariff income and other revenue</t>
  </si>
  <si>
    <t>Total revenue and other income</t>
  </si>
  <si>
    <t>Cost of Operations</t>
  </si>
  <si>
    <t>Production, insurance and transportation costs</t>
  </si>
  <si>
    <t>Commodity purchases</t>
  </si>
  <si>
    <t>Royalties</t>
  </si>
  <si>
    <t>Impairment of receivables</t>
  </si>
  <si>
    <t>Depreciation of oil and gas assets</t>
  </si>
  <si>
    <t>Depreciation of right-of-use oil and gas assets</t>
  </si>
  <si>
    <t>Capitalisation of IFRS 16 lease depreciation on oil and gas assets</t>
  </si>
  <si>
    <t>Amortisation of capacity rights</t>
  </si>
  <si>
    <t>Movement in over/underlift balances and hydrocarbon inventories</t>
  </si>
  <si>
    <t>Other cost of operations</t>
  </si>
  <si>
    <t>Total cost of operations</t>
  </si>
  <si>
    <t>Impairments &amp; write-offs</t>
  </si>
  <si>
    <t>Impairment (expense)/reversal of oil and gas property, plant and equipment</t>
  </si>
  <si>
    <t>Net impairment (loss)/gain due to increase in decommissioning provisions on oil and gas tangible assets</t>
  </si>
  <si>
    <t>Impairment of goodwill</t>
  </si>
  <si>
    <t>Impairment of right of use asset</t>
  </si>
  <si>
    <t>Exploration costs written-off</t>
  </si>
  <si>
    <t>Exploration and evaluation expenditure and new ventures</t>
  </si>
  <si>
    <t>Gain on disposal</t>
  </si>
  <si>
    <t>Total impairments &amp; write-offs</t>
  </si>
  <si>
    <t>General and administrative expenses</t>
  </si>
  <si>
    <t>Depreciation of right-of-use non-oil and gas assets</t>
  </si>
  <si>
    <t>Depreciation of non-oil and gas assets</t>
  </si>
  <si>
    <t>Amortisation of non-oil and gas intangible assets</t>
  </si>
  <si>
    <t>Acquisition-related transaction costs</t>
  </si>
  <si>
    <t>Other administrative costs</t>
  </si>
  <si>
    <t>Total general and administrative expenses</t>
  </si>
  <si>
    <t>Profit</t>
  </si>
  <si>
    <t>Operating profit</t>
  </si>
  <si>
    <t>Finance costs</t>
  </si>
  <si>
    <t>Finance income</t>
  </si>
  <si>
    <t>Finance expenses</t>
  </si>
  <si>
    <t>Total finance costs</t>
  </si>
  <si>
    <t>Profit before tax</t>
  </si>
  <si>
    <t xml:space="preserve">Income tax expense </t>
  </si>
  <si>
    <t xml:space="preserve">Profit after tax </t>
  </si>
  <si>
    <t>EBITDAX</t>
  </si>
  <si>
    <t>Assets</t>
  </si>
  <si>
    <t>Non-current assets</t>
  </si>
  <si>
    <t>Goodwill</t>
  </si>
  <si>
    <t>Other intangible assets</t>
  </si>
  <si>
    <t>Property, plant and equipment</t>
  </si>
  <si>
    <t>Right-of-use assets</t>
  </si>
  <si>
    <t>Deferred tax assets</t>
  </si>
  <si>
    <t>Other receivables</t>
  </si>
  <si>
    <t>Other financial assets</t>
  </si>
  <si>
    <t>Total non-current assets</t>
  </si>
  <si>
    <t>Current assets</t>
  </si>
  <si>
    <t>Inventories</t>
  </si>
  <si>
    <t>Trade and other receivables</t>
  </si>
  <si>
    <t>Cash and cash equivalents</t>
  </si>
  <si>
    <t>Assets held for sale</t>
  </si>
  <si>
    <t>-</t>
  </si>
  <si>
    <t>Total current assets</t>
  </si>
  <si>
    <t>Total assets</t>
  </si>
  <si>
    <t>Equity &amp; Liabilities</t>
  </si>
  <si>
    <t>Equity</t>
  </si>
  <si>
    <t>Share capital</t>
  </si>
  <si>
    <t>Share premium</t>
  </si>
  <si>
    <t>Merger reserve</t>
  </si>
  <si>
    <t>Other reserves</t>
  </si>
  <si>
    <t>Retained earnings</t>
  </si>
  <si>
    <t>Equity attributable to owners of the company</t>
  </si>
  <si>
    <t>Equity attributable to subordinated notes investors</t>
  </si>
  <si>
    <t>Total equity</t>
  </si>
  <si>
    <t>Non-current liabilities</t>
  </si>
  <si>
    <t>Borrowings</t>
  </si>
  <si>
    <t>Provisions</t>
  </si>
  <si>
    <t>Deferred tax</t>
  </si>
  <si>
    <t>Trade and other payables</t>
  </si>
  <si>
    <t>Lease creditor</t>
  </si>
  <si>
    <t>Other financial liabilities</t>
  </si>
  <si>
    <t>Total non-current liabilities</t>
  </si>
  <si>
    <t>Current liabilities</t>
  </si>
  <si>
    <t>Current tax liabilities</t>
  </si>
  <si>
    <t>Liabilities directly associated with the assets held for sale</t>
  </si>
  <si>
    <t>Total current liabilities</t>
  </si>
  <si>
    <t>Total liabilities</t>
  </si>
  <si>
    <t>Total equity and liabilities</t>
  </si>
  <si>
    <t>Profit before taxation</t>
  </si>
  <si>
    <t>Adjustments to reconcile profit before tax to net cash flows</t>
  </si>
  <si>
    <t>Finance cost, excluding foreign exchange</t>
  </si>
  <si>
    <t>Finance income, excluding foreign exchange</t>
  </si>
  <si>
    <t>Depreciation, Depletion and amortisation</t>
  </si>
  <si>
    <t>Net impairment of property, plant and equipment</t>
  </si>
  <si>
    <t>Fair value movement in unrealised carbon swaps</t>
  </si>
  <si>
    <t>Impairment of right-of-use asset</t>
  </si>
  <si>
    <t>Share based payments</t>
  </si>
  <si>
    <t>Decommissioning payments</t>
  </si>
  <si>
    <t>Onerous contract provision</t>
  </si>
  <si>
    <t>Fair value movements on derivatives</t>
  </si>
  <si>
    <t>Changes in provisions</t>
  </si>
  <si>
    <t>Exploration costs written off</t>
  </si>
  <si>
    <t>Write-off of non-oil and gas assets</t>
  </si>
  <si>
    <t>Pre-merger costs</t>
  </si>
  <si>
    <t>Onerous contract payments</t>
  </si>
  <si>
    <t>Gain/(loss) on disposal</t>
  </si>
  <si>
    <t>Movement in realised cash flow hedges not yet settled</t>
  </si>
  <si>
    <t>Unrealised foreign exchange (gain)/losses</t>
  </si>
  <si>
    <t>Working capital adjustments</t>
  </si>
  <si>
    <t>Decrease/(increase) in inventories</t>
  </si>
  <si>
    <t>(Increase)/decrease in trade and other receivables</t>
  </si>
  <si>
    <t>Decrease in trade and other payables</t>
  </si>
  <si>
    <t>Net tax payments</t>
  </si>
  <si>
    <t>Net cash inflow from operating activities</t>
  </si>
  <si>
    <t>Investing activities</t>
  </si>
  <si>
    <t>Expenditure on exploration and evaluation assets</t>
  </si>
  <si>
    <t>Expenditure on property, plant and equipment</t>
  </si>
  <si>
    <t>Expenditure on non-oil and gas intangible assets</t>
  </si>
  <si>
    <t>Expenditure on other intangible assets</t>
  </si>
  <si>
    <t>Cash acquired on business combinations</t>
  </si>
  <si>
    <t>Acquisition of subsidiaries, net of cash required</t>
  </si>
  <si>
    <t>Expenditure on business combinations - deferred consideration</t>
  </si>
  <si>
    <t>Finance income received</t>
  </si>
  <si>
    <t>Net cash outflow from investing activities</t>
  </si>
  <si>
    <t>Financing activities</t>
  </si>
  <si>
    <t>Repurchase of shares</t>
  </si>
  <si>
    <t>Proceeds from new borrowings - revolving credit facility</t>
  </si>
  <si>
    <t>Proceeds from new borrowings - reserve based lending facility</t>
  </si>
  <si>
    <t>Proceeds from new borrowings - exploration financing facility</t>
  </si>
  <si>
    <t>Payments of principal portion of lease libailities</t>
  </si>
  <si>
    <t>Interest paid on lease liabilities</t>
  </si>
  <si>
    <t>Repayment of short term debt arising on business combination</t>
  </si>
  <si>
    <t>Repayment of hedging liabilities arising on business combination</t>
  </si>
  <si>
    <t>Repayment of revolving credit facility</t>
  </si>
  <si>
    <t>Repayment of reserve based lending facility</t>
  </si>
  <si>
    <t>Reapyment of junior debt</t>
  </si>
  <si>
    <t>Repayment of exploration financing facility</t>
  </si>
  <si>
    <t>Repayment of financing arrangement</t>
  </si>
  <si>
    <t>Redemption of loan notes</t>
  </si>
  <si>
    <t>Purchase of ESOP trust shares</t>
  </si>
  <si>
    <t>Interest paid and bank charges</t>
  </si>
  <si>
    <t>Dividends paid to shareholders</t>
  </si>
  <si>
    <t>Net cash inflow/(outflow) from financing activities</t>
  </si>
  <si>
    <t>Net increase/(decrease) in cash and cash equivalents</t>
  </si>
  <si>
    <t>Net foreign exchnage difference</t>
  </si>
  <si>
    <t>Reclassification of Vietnam cash as asset held for sale</t>
  </si>
  <si>
    <t>Cash and cash equivalents at 1 January</t>
  </si>
  <si>
    <t>Cash and cash equivalents at 31 December</t>
  </si>
  <si>
    <t>RCF/RBL</t>
  </si>
  <si>
    <t>Bonds</t>
  </si>
  <si>
    <t>EFF loan</t>
  </si>
  <si>
    <t>Net debt</t>
  </si>
  <si>
    <t>Closing net borrowings</t>
  </si>
  <si>
    <t>non-current assets</t>
  </si>
  <si>
    <t>Closing net borowings after unamortised fees</t>
  </si>
  <si>
    <t>Unammortised fees</t>
  </si>
  <si>
    <t>Net debt before unammortised fees</t>
  </si>
  <si>
    <t>Free cash flow</t>
  </si>
  <si>
    <t>Pre-hedging revenue</t>
  </si>
  <si>
    <t>Receipts for sub-lease income</t>
  </si>
  <si>
    <t>Payments relating to disposal of oil and gas properties</t>
  </si>
  <si>
    <t>Financing arrangement</t>
  </si>
  <si>
    <t>Argentina</t>
  </si>
  <si>
    <t>Germany</t>
  </si>
  <si>
    <t>Mexico</t>
  </si>
  <si>
    <t>Norway</t>
  </si>
  <si>
    <t>SE Asia</t>
  </si>
  <si>
    <t>UK</t>
  </si>
  <si>
    <t>Total</t>
  </si>
  <si>
    <t>Production (kboepd)</t>
  </si>
  <si>
    <t>Opex</t>
  </si>
  <si>
    <t>H1 2024</t>
  </si>
  <si>
    <t>P&amp;L $m)</t>
  </si>
  <si>
    <t>Cash flow ($m)</t>
  </si>
  <si>
    <t>Balance sheet ($m)</t>
  </si>
  <si>
    <t>Group</t>
  </si>
  <si>
    <t>H1 2025</t>
  </si>
  <si>
    <t>North Africa</t>
  </si>
  <si>
    <t>Oil</t>
  </si>
  <si>
    <t>NGLs</t>
  </si>
  <si>
    <t>Commodity split (%)</t>
  </si>
  <si>
    <t>Liquids (oil &amp; NGLs)</t>
  </si>
  <si>
    <t>Absolute opex ($m)</t>
  </si>
  <si>
    <t>Unit opex ($/boe)</t>
  </si>
  <si>
    <t>By activity</t>
  </si>
  <si>
    <t>E&amp;A</t>
  </si>
  <si>
    <t>Decommissioning</t>
  </si>
  <si>
    <t>P&amp;D</t>
  </si>
  <si>
    <t>CCS</t>
  </si>
  <si>
    <t>By Business Unit</t>
  </si>
  <si>
    <t>Corporate</t>
  </si>
  <si>
    <t>Total capital expenditure</t>
  </si>
  <si>
    <t>2024*</t>
  </si>
  <si>
    <t>2P reserves</t>
  </si>
  <si>
    <t>Liquids</t>
  </si>
  <si>
    <t>2C resources</t>
  </si>
  <si>
    <t>International*</t>
  </si>
  <si>
    <t>Liquids (kboepd)</t>
  </si>
  <si>
    <t>Natural gas (kboepd)</t>
  </si>
  <si>
    <t>Total production (kboepd)</t>
  </si>
  <si>
    <t>Realised Prices (kboepd)</t>
  </si>
  <si>
    <t>Liquids ($/bbl)</t>
  </si>
  <si>
    <t>Brent</t>
  </si>
  <si>
    <t>European gas ($/mscf)</t>
  </si>
  <si>
    <t>NBP</t>
  </si>
  <si>
    <t>TTF</t>
  </si>
  <si>
    <t>HBR pre-hedge</t>
  </si>
  <si>
    <t>HBR post hedge</t>
  </si>
  <si>
    <t>Other gas ($/mscf)</t>
  </si>
  <si>
    <t>Other</t>
  </si>
  <si>
    <t>Year end reserves and resources</t>
  </si>
  <si>
    <t>Total capital investment expenditure</t>
  </si>
  <si>
    <t>International***</t>
  </si>
  <si>
    <t>*** before the 2024 annual report capex was split by UK &amp; international only</t>
  </si>
  <si>
    <t>Investments</t>
  </si>
  <si>
    <t>Proceeds from subordinated notes net of transaction costs</t>
  </si>
  <si>
    <t>Proceeds from bond issuance  net of transaction costs</t>
  </si>
  <si>
    <t>Repayment of bonds</t>
  </si>
  <si>
    <t>Repayment of subordinated notes</t>
  </si>
  <si>
    <t>Distributions paid to subordinated notes investors</t>
  </si>
  <si>
    <t>USD/GBP</t>
  </si>
  <si>
    <t>USD/EURO</t>
  </si>
  <si>
    <t>NOK/USD</t>
  </si>
  <si>
    <t>NA</t>
  </si>
  <si>
    <t>Hedge position as at 30/06/2025</t>
  </si>
  <si>
    <t>Volume</t>
  </si>
  <si>
    <t>Price realised</t>
  </si>
  <si>
    <t>Price</t>
  </si>
  <si>
    <t>2025H2</t>
  </si>
  <si>
    <t>2025FY</t>
  </si>
  <si>
    <t>Oil ($/bbl)</t>
  </si>
  <si>
    <t>NBP (p/therm)</t>
  </si>
  <si>
    <t>TTF ($/mscf)</t>
  </si>
  <si>
    <t>($/mscf,$/bbl)</t>
  </si>
  <si>
    <t>mmboe</t>
  </si>
  <si>
    <t>--</t>
  </si>
  <si>
    <t>Capex**</t>
  </si>
  <si>
    <t>** Capex is reported on an accrued basis</t>
  </si>
  <si>
    <t>Swaps / fixed price</t>
  </si>
  <si>
    <t>Collars (put-call)</t>
  </si>
  <si>
    <t>Swaps</t>
  </si>
  <si>
    <t xml:space="preserve">Germany </t>
  </si>
  <si>
    <t xml:space="preserve"> 11.4-26</t>
  </si>
  <si>
    <t xml:space="preserve"> 12.8-30.6</t>
  </si>
  <si>
    <t xml:space="preserve"> 10.6-21.6</t>
  </si>
  <si>
    <t xml:space="preserve"> 9-16.8</t>
  </si>
  <si>
    <t xml:space="preserve"> 7.9-16.9</t>
  </si>
  <si>
    <t>65 - 85</t>
  </si>
  <si>
    <t>60 - 84</t>
  </si>
  <si>
    <t>11 - 22</t>
  </si>
  <si>
    <t>9 - 18</t>
  </si>
  <si>
    <t>8 - 15</t>
  </si>
  <si>
    <t>12 - 21</t>
  </si>
  <si>
    <t>9 - 17</t>
  </si>
  <si>
    <t>8 - 17</t>
  </si>
  <si>
    <t>60 - 83</t>
  </si>
  <si>
    <t>60 - 80</t>
  </si>
  <si>
    <t>60 - 89</t>
  </si>
  <si>
    <t>Forward Curve Price assumptions at 30/06/2025</t>
  </si>
  <si>
    <t>2025 H2</t>
  </si>
  <si>
    <t>2025FYF</t>
  </si>
  <si>
    <t>FX  at  30/06/2025</t>
  </si>
  <si>
    <t>Basic EPS ($ cents)</t>
  </si>
  <si>
    <t>Adjusted profit after tax*</t>
  </si>
  <si>
    <t>Adjusted EBITDAX*</t>
  </si>
  <si>
    <t>Adjusted EPS ($ cents)*</t>
  </si>
  <si>
    <t>* Harbour Energy introduced alternative performance measures in our financial reporting in H1 2025 covering adjusted EBITDAX, adjusted profit after taxation, adjusted effective tax rate and adjusted earnings per share. These are indicators that management consider better reflect our true underlying operational and financial performance in the period and facilitate a more meaningful period on period comparison</t>
  </si>
  <si>
    <t>* before the 2024 annual report reserves and resources were split by UK &amp; international only</t>
  </si>
  <si>
    <t>* 2024 included 4 months contribution from the WDEA asset portfolio acquired during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</si>
</sst>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0\)"/>
    <numFmt numFmtId="166" formatCode="0.0"/>
    <numFmt numFmtId="167" formatCode="#,##0.00;\(#,##0.00\)"/>
    <numFmt numFmtId="168" formatCode="#,##0.0;\(#,##0.0\)"/>
    <numFmt numFmtId="169" formatCode="0.000000"/>
  </numFmts>
  <fonts count="26" x14ac:knownFonts="1">
    <font>
      <sz val="11"/>
      <color theme="1"/>
      <name val="Aptos Narrow"/>
      <family val="2"/>
      <scheme val="minor"/>
    </font>
    <font>
      <sz val="11"/>
      <color theme="1"/>
      <name val="Aptos Narrow"/>
      <family val="2"/>
      <scheme val="minor"/>
    </font>
    <font>
      <b/>
      <sz val="11"/>
      <color rgb="FF003A70"/>
      <name val="Calibri"/>
      <family val="2"/>
    </font>
    <font>
      <b/>
      <sz val="11"/>
      <color rgb="FFFFFFFF"/>
      <name val="Calibri"/>
      <family val="2"/>
    </font>
    <font>
      <sz val="11"/>
      <name val="Calibri"/>
      <family val="2"/>
    </font>
    <font>
      <b/>
      <sz val="11"/>
      <color theme="0"/>
      <name val="Calibri"/>
      <family val="2"/>
    </font>
    <font>
      <b/>
      <sz val="11"/>
      <color rgb="FF002060"/>
      <name val="Calibri"/>
      <family val="2"/>
    </font>
    <font>
      <sz val="11"/>
      <color rgb="FF003A70"/>
      <name val="Calibri"/>
      <family val="2"/>
    </font>
    <font>
      <sz val="11"/>
      <color theme="1"/>
      <name val="Calibri"/>
      <family val="2"/>
    </font>
    <font>
      <sz val="11"/>
      <color rgb="FF002060"/>
      <name val="Calibri"/>
      <family val="2"/>
    </font>
    <font>
      <sz val="12"/>
      <color rgb="FF424242"/>
      <name val="Segoe UI"/>
      <family val="2"/>
    </font>
    <font>
      <sz val="11"/>
      <color rgb="FF424242"/>
      <name val="Segoe UI"/>
      <family val="2"/>
    </font>
    <font>
      <sz val="12"/>
      <color rgb="FF424242"/>
      <name val="Calibri"/>
      <family val="2"/>
    </font>
    <font>
      <sz val="11"/>
      <color rgb="FF424242"/>
      <name val="Calibri"/>
      <family val="2"/>
    </font>
    <font>
      <b/>
      <sz val="12"/>
      <color rgb="FF002060"/>
      <name val="Calibri"/>
      <family val="2"/>
    </font>
    <font>
      <sz val="8"/>
      <name val="Aptos Narrow"/>
      <family val="2"/>
      <scheme val="minor"/>
    </font>
    <font>
      <sz val="12"/>
      <color theme="1"/>
      <name val="Aptos"/>
      <family val="2"/>
    </font>
    <font>
      <b/>
      <sz val="11"/>
      <color theme="1"/>
      <name val="Aptos Narrow"/>
      <family val="2"/>
      <scheme val="minor"/>
    </font>
    <font>
      <b/>
      <sz val="11"/>
      <color theme="1"/>
      <name val="Calibri"/>
      <family val="2"/>
    </font>
    <font>
      <b/>
      <sz val="11"/>
      <color rgb="FF002060"/>
      <name val="Aptos Narrow"/>
      <family val="2"/>
      <scheme val="minor"/>
    </font>
    <font>
      <b/>
      <sz val="11"/>
      <color theme="0"/>
      <name val="Aptos Narrow"/>
      <family val="2"/>
      <scheme val="minor"/>
    </font>
    <font>
      <sz val="11"/>
      <color theme="0"/>
      <name val="Aptos Narrow"/>
      <family val="2"/>
      <scheme val="minor"/>
    </font>
    <font>
      <b/>
      <sz val="11"/>
      <color theme="5"/>
      <name val="Aptos Narrow"/>
      <family val="2"/>
      <scheme val="minor"/>
    </font>
    <font>
      <b/>
      <sz val="11"/>
      <color rgb="FF003A70"/>
      <name val="Aptos Narrow"/>
      <family val="2"/>
      <scheme val="minor"/>
    </font>
    <font>
      <i/>
      <sz val="10"/>
      <color theme="1"/>
      <name val="Aptos Narrow"/>
      <family val="2"/>
      <scheme val="minor"/>
    </font>
    <font>
      <sz val="10"/>
      <color theme="3"/>
      <name val="Aptos Narrow"/>
      <family val="2"/>
      <scheme val="minor"/>
    </font>
  </fonts>
  <fills count="6">
    <fill>
      <patternFill patternType="none"/>
    </fill>
    <fill>
      <patternFill patternType="gray125"/>
    </fill>
    <fill>
      <patternFill patternType="solid">
        <fgColor theme="5"/>
        <bgColor indexed="64"/>
      </patternFill>
    </fill>
    <fill>
      <patternFill patternType="solid">
        <fgColor rgb="FF002060"/>
        <bgColor indexed="64"/>
      </patternFill>
    </fill>
    <fill>
      <patternFill patternType="solid">
        <fgColor theme="2"/>
        <bgColor indexed="64"/>
      </patternFill>
    </fill>
    <fill>
      <patternFill patternType="solid">
        <fgColor theme="0" tint="-4.9989318521683403E-2"/>
        <bgColor indexed="64"/>
      </patternFill>
    </fill>
  </fills>
  <borders count="9">
    <border>
      <left/>
      <right/>
      <top/>
      <bottom/>
      <diagonal/>
    </border>
    <border>
      <left/>
      <right/>
      <top style="medium">
        <color rgb="FF003A70"/>
      </top>
      <bottom style="medium">
        <color rgb="FF003A70"/>
      </bottom>
      <diagonal/>
    </border>
    <border>
      <left/>
      <right/>
      <top/>
      <bottom style="medium">
        <color indexed="64"/>
      </bottom>
      <diagonal/>
    </border>
    <border>
      <left/>
      <right/>
      <top style="medium">
        <color indexed="64"/>
      </top>
      <bottom style="medium">
        <color indexed="64"/>
      </bottom>
      <diagonal/>
    </border>
    <border>
      <left/>
      <right/>
      <top style="medium">
        <color rgb="FF002060"/>
      </top>
      <bottom style="medium">
        <color rgb="FF002060"/>
      </bottom>
      <diagonal/>
    </border>
    <border>
      <left/>
      <right/>
      <top/>
      <bottom style="thin">
        <color indexed="64"/>
      </bottom>
      <diagonal/>
    </border>
    <border>
      <left/>
      <right/>
      <top style="thin">
        <color indexed="64"/>
      </top>
      <bottom/>
      <diagonal/>
    </border>
    <border>
      <left/>
      <right/>
      <top/>
      <bottom style="medium">
        <color rgb="FF003A70"/>
      </bottom>
      <diagonal/>
    </border>
    <border>
      <left/>
      <right/>
      <top style="medium">
        <color rgb="FF003A70"/>
      </top>
      <bottom/>
      <diagonal/>
    </border>
  </borders>
  <cellStyleXfs count="4">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25">
    <xf numFmtId="0" fontId="0" fillId="0" borderId="0" xfId="0"/>
    <xf numFmtId="0" fontId="2" fillId="0" borderId="0" xfId="0" applyFont="1" applyAlignment="1">
      <alignment horizontal="left" vertical="center" wrapText="1" readingOrder="1"/>
    </xf>
    <xf numFmtId="0" fontId="0" fillId="0" borderId="0" xfId="0" applyAlignment="1">
      <alignment horizontal="center"/>
    </xf>
    <xf numFmtId="0" fontId="4" fillId="0" borderId="0" xfId="0" applyFont="1" applyAlignment="1">
      <alignment horizontal="left" vertical="center" wrapText="1" indent="1" readingOrder="1"/>
    </xf>
    <xf numFmtId="0" fontId="3" fillId="0" borderId="0" xfId="0" applyFont="1" applyAlignment="1">
      <alignment horizontal="left" vertical="center" wrapText="1" readingOrder="1"/>
    </xf>
    <xf numFmtId="0" fontId="2" fillId="0" borderId="1" xfId="0" applyFont="1" applyBorder="1" applyAlignment="1">
      <alignment horizontal="left" vertical="center" wrapText="1" readingOrder="1"/>
    </xf>
    <xf numFmtId="164" fontId="2" fillId="0" borderId="1" xfId="1" applyNumberFormat="1" applyFont="1" applyBorder="1" applyAlignment="1">
      <alignment vertical="center" wrapText="1" readingOrder="1"/>
    </xf>
    <xf numFmtId="0" fontId="2" fillId="0" borderId="2" xfId="0" applyFont="1" applyBorder="1" applyAlignment="1">
      <alignment horizontal="left" vertical="center" wrapText="1" readingOrder="1"/>
    </xf>
    <xf numFmtId="164" fontId="2" fillId="0" borderId="0" xfId="1" applyNumberFormat="1" applyFont="1" applyBorder="1" applyAlignment="1">
      <alignment vertical="center" wrapText="1" readingOrder="1"/>
    </xf>
    <xf numFmtId="0" fontId="3" fillId="2" borderId="0" xfId="0" applyFont="1" applyFill="1" applyAlignment="1">
      <alignment horizontal="left" vertical="center" wrapText="1" readingOrder="1"/>
    </xf>
    <xf numFmtId="0" fontId="5" fillId="3" borderId="0" xfId="0" applyFont="1" applyFill="1" applyAlignment="1">
      <alignment horizontal="left" vertical="center" wrapText="1" readingOrder="1"/>
    </xf>
    <xf numFmtId="0" fontId="2" fillId="0" borderId="3" xfId="0" applyFont="1" applyBorder="1" applyAlignment="1">
      <alignment horizontal="left" vertical="center" wrapText="1" readingOrder="1"/>
    </xf>
    <xf numFmtId="0" fontId="5" fillId="0" borderId="0" xfId="0" applyFont="1" applyAlignment="1">
      <alignment horizontal="left" vertical="center" wrapText="1" readingOrder="1"/>
    </xf>
    <xf numFmtId="0" fontId="6" fillId="0" borderId="0" xfId="0" applyFont="1" applyAlignment="1">
      <alignment horizontal="left" vertical="center" wrapText="1" readingOrder="1"/>
    </xf>
    <xf numFmtId="0" fontId="8" fillId="0" borderId="0" xfId="0" applyFont="1"/>
    <xf numFmtId="0" fontId="9" fillId="0" borderId="0" xfId="0" applyFont="1"/>
    <xf numFmtId="0" fontId="6" fillId="0" borderId="1" xfId="2" applyFont="1" applyBorder="1"/>
    <xf numFmtId="0" fontId="6" fillId="0" borderId="0" xfId="2" applyFont="1"/>
    <xf numFmtId="0" fontId="6" fillId="0" borderId="0" xfId="0" applyFont="1"/>
    <xf numFmtId="0" fontId="10" fillId="0" borderId="0" xfId="0" applyFont="1" applyAlignment="1">
      <alignment horizontal="left" vertical="top" indent="1"/>
    </xf>
    <xf numFmtId="3" fontId="10" fillId="0" borderId="0" xfId="0" applyNumberFormat="1" applyFont="1" applyAlignment="1">
      <alignment horizontal="left" vertical="top" indent="1"/>
    </xf>
    <xf numFmtId="0" fontId="11" fillId="0" borderId="0" xfId="0" applyFont="1" applyAlignment="1">
      <alignment horizontal="left" vertical="top" indent="1"/>
    </xf>
    <xf numFmtId="0" fontId="6" fillId="0" borderId="0" xfId="0" applyFont="1" applyAlignment="1">
      <alignment horizontal="left" vertical="top" indent="1"/>
    </xf>
    <xf numFmtId="3" fontId="14" fillId="0" borderId="0" xfId="0" applyNumberFormat="1" applyFont="1" applyAlignment="1">
      <alignment horizontal="left" vertical="top" indent="1"/>
    </xf>
    <xf numFmtId="165" fontId="3" fillId="0" borderId="0" xfId="1" applyNumberFormat="1" applyFont="1" applyAlignment="1">
      <alignment horizontal="center" vertical="center" wrapText="1" readingOrder="1"/>
    </xf>
    <xf numFmtId="165" fontId="8" fillId="3" borderId="0" xfId="1" applyNumberFormat="1" applyFont="1" applyFill="1"/>
    <xf numFmtId="165" fontId="8" fillId="0" borderId="0" xfId="1" applyNumberFormat="1" applyFont="1"/>
    <xf numFmtId="165" fontId="8" fillId="0" borderId="0" xfId="1" applyNumberFormat="1" applyFont="1" applyAlignment="1">
      <alignment horizontal="right"/>
    </xf>
    <xf numFmtId="165" fontId="8" fillId="3" borderId="0" xfId="1" applyNumberFormat="1" applyFont="1" applyFill="1" applyAlignment="1">
      <alignment horizontal="right"/>
    </xf>
    <xf numFmtId="165" fontId="10" fillId="0" borderId="0" xfId="1" applyNumberFormat="1" applyFont="1" applyAlignment="1">
      <alignment horizontal="left" vertical="top" indent="1"/>
    </xf>
    <xf numFmtId="165" fontId="6" fillId="0" borderId="0" xfId="1" applyNumberFormat="1" applyFont="1"/>
    <xf numFmtId="165" fontId="0" fillId="0" borderId="0" xfId="1" applyNumberFormat="1" applyFont="1"/>
    <xf numFmtId="165" fontId="8" fillId="0" borderId="0" xfId="1" quotePrefix="1" applyNumberFormat="1" applyFont="1" applyFill="1" applyAlignment="1">
      <alignment horizontal="right"/>
    </xf>
    <xf numFmtId="165" fontId="9" fillId="0" borderId="4" xfId="1" quotePrefix="1" applyNumberFormat="1" applyFont="1" applyFill="1" applyBorder="1" applyAlignment="1">
      <alignment horizontal="right"/>
    </xf>
    <xf numFmtId="165" fontId="8" fillId="0" borderId="0" xfId="1" applyNumberFormat="1" applyFont="1" applyFill="1"/>
    <xf numFmtId="165" fontId="8" fillId="0" borderId="0" xfId="1" applyNumberFormat="1" applyFont="1" applyFill="1" applyAlignment="1">
      <alignment horizontal="right"/>
    </xf>
    <xf numFmtId="165" fontId="9" fillId="0" borderId="0" xfId="1" applyNumberFormat="1" applyFont="1" applyFill="1"/>
    <xf numFmtId="165" fontId="9" fillId="0" borderId="0" xfId="1" applyNumberFormat="1" applyFont="1" applyFill="1" applyAlignment="1">
      <alignment horizontal="right"/>
    </xf>
    <xf numFmtId="165" fontId="7" fillId="0" borderId="1" xfId="1" applyNumberFormat="1" applyFont="1" applyFill="1" applyBorder="1" applyAlignment="1">
      <alignment horizontal="right" vertical="center" wrapText="1" readingOrder="1"/>
    </xf>
    <xf numFmtId="165" fontId="2" fillId="0" borderId="1" xfId="1" applyNumberFormat="1" applyFont="1" applyFill="1" applyBorder="1" applyAlignment="1">
      <alignment horizontal="right" vertical="center" wrapText="1" readingOrder="1"/>
    </xf>
    <xf numFmtId="165" fontId="6" fillId="0" borderId="4" xfId="1" quotePrefix="1" applyNumberFormat="1" applyFont="1" applyFill="1" applyBorder="1" applyAlignment="1">
      <alignment horizontal="right"/>
    </xf>
    <xf numFmtId="165" fontId="2" fillId="0" borderId="0" xfId="1" applyNumberFormat="1" applyFont="1" applyFill="1" applyAlignment="1">
      <alignment horizontal="left" vertical="center" wrapText="1" readingOrder="1"/>
    </xf>
    <xf numFmtId="165" fontId="2" fillId="0" borderId="0" xfId="1" applyNumberFormat="1" applyFont="1" applyFill="1" applyAlignment="1">
      <alignment horizontal="right" vertical="center" wrapText="1" readingOrder="1"/>
    </xf>
    <xf numFmtId="165" fontId="6" fillId="0" borderId="0" xfId="1" applyNumberFormat="1" applyFont="1" applyFill="1" applyAlignment="1">
      <alignment horizontal="right"/>
    </xf>
    <xf numFmtId="165" fontId="2" fillId="0" borderId="1" xfId="1" applyNumberFormat="1" applyFont="1" applyFill="1" applyBorder="1" applyAlignment="1">
      <alignment vertical="center" wrapText="1" readingOrder="1"/>
    </xf>
    <xf numFmtId="165" fontId="2" fillId="0" borderId="0" xfId="1" applyNumberFormat="1" applyFont="1" applyFill="1" applyBorder="1" applyAlignment="1">
      <alignment vertical="center" wrapText="1" readingOrder="1"/>
    </xf>
    <xf numFmtId="165" fontId="6" fillId="0" borderId="0" xfId="1" quotePrefix="1" applyNumberFormat="1" applyFont="1" applyFill="1" applyAlignment="1">
      <alignment horizontal="right"/>
    </xf>
    <xf numFmtId="0" fontId="12" fillId="0" borderId="0" xfId="0" applyFont="1" applyAlignment="1">
      <alignment horizontal="left" vertical="top" indent="1"/>
    </xf>
    <xf numFmtId="165" fontId="12" fillId="0" borderId="0" xfId="1" applyNumberFormat="1" applyFont="1" applyBorder="1" applyAlignment="1">
      <alignment horizontal="left" vertical="top" indent="1"/>
    </xf>
    <xf numFmtId="165" fontId="8" fillId="0" borderId="0" xfId="1" applyNumberFormat="1" applyFont="1" applyBorder="1"/>
    <xf numFmtId="0" fontId="13" fillId="0" borderId="0" xfId="0" applyFont="1" applyAlignment="1">
      <alignment horizontal="left" vertical="top" indent="1"/>
    </xf>
    <xf numFmtId="3" fontId="12" fillId="0" borderId="0" xfId="0" applyNumberFormat="1" applyFont="1" applyAlignment="1">
      <alignment horizontal="left" vertical="top" indent="1"/>
    </xf>
    <xf numFmtId="165" fontId="8" fillId="0" borderId="0" xfId="1" quotePrefix="1" applyNumberFormat="1" applyFont="1" applyFill="1" applyBorder="1" applyAlignment="1">
      <alignment horizontal="right"/>
    </xf>
    <xf numFmtId="165" fontId="12" fillId="0" borderId="0" xfId="1" applyNumberFormat="1" applyFont="1" applyFill="1" applyBorder="1" applyAlignment="1">
      <alignment horizontal="left" vertical="top" indent="1"/>
    </xf>
    <xf numFmtId="165" fontId="8" fillId="0" borderId="0" xfId="1" applyNumberFormat="1" applyFont="1" applyFill="1" applyBorder="1"/>
    <xf numFmtId="164" fontId="2" fillId="0" borderId="1" xfId="1" applyNumberFormat="1" applyFont="1" applyFill="1" applyBorder="1" applyAlignment="1">
      <alignment vertical="center" wrapText="1" readingOrder="1"/>
    </xf>
    <xf numFmtId="164" fontId="2" fillId="0" borderId="0" xfId="1" applyNumberFormat="1" applyFont="1" applyFill="1" applyBorder="1" applyAlignment="1">
      <alignment vertical="center" wrapText="1" readingOrder="1"/>
    </xf>
    <xf numFmtId="0" fontId="14" fillId="0" borderId="0" xfId="0" applyFont="1" applyAlignment="1">
      <alignment horizontal="left" vertical="top" indent="1"/>
    </xf>
    <xf numFmtId="165" fontId="6" fillId="0" borderId="0" xfId="1" applyNumberFormat="1" applyFont="1" applyFill="1"/>
    <xf numFmtId="165" fontId="0" fillId="0" borderId="0" xfId="1" applyNumberFormat="1" applyFont="1" applyFill="1"/>
    <xf numFmtId="165" fontId="6" fillId="0" borderId="3" xfId="1" applyNumberFormat="1" applyFont="1" applyFill="1" applyBorder="1"/>
    <xf numFmtId="165" fontId="8" fillId="4" borderId="0" xfId="1" quotePrefix="1" applyNumberFormat="1" applyFont="1" applyFill="1" applyAlignment="1">
      <alignment horizontal="right"/>
    </xf>
    <xf numFmtId="165" fontId="9" fillId="4" borderId="4" xfId="1" quotePrefix="1" applyNumberFormat="1" applyFont="1" applyFill="1" applyBorder="1" applyAlignment="1">
      <alignment horizontal="right"/>
    </xf>
    <xf numFmtId="165" fontId="0" fillId="0" borderId="0" xfId="0" applyNumberFormat="1"/>
    <xf numFmtId="166" fontId="0" fillId="0" borderId="0" xfId="0" applyNumberFormat="1"/>
    <xf numFmtId="0" fontId="16" fillId="0" borderId="0" xfId="0" applyFont="1" applyAlignment="1">
      <alignment horizontal="left" vertical="center" indent="1"/>
    </xf>
    <xf numFmtId="0" fontId="3" fillId="2" borderId="0" xfId="1" applyNumberFormat="1" applyFont="1" applyFill="1" applyAlignment="1">
      <alignment horizontal="right" vertical="center" wrapText="1" readingOrder="1"/>
    </xf>
    <xf numFmtId="9" fontId="0" fillId="0" borderId="0" xfId="3" applyFont="1"/>
    <xf numFmtId="168" fontId="6" fillId="0" borderId="4" xfId="1" quotePrefix="1" applyNumberFormat="1" applyFont="1" applyFill="1" applyBorder="1" applyAlignment="1">
      <alignment horizontal="right"/>
    </xf>
    <xf numFmtId="0" fontId="17" fillId="0" borderId="0" xfId="0" applyFont="1"/>
    <xf numFmtId="0" fontId="18" fillId="0" borderId="5" xfId="0" applyFont="1" applyBorder="1"/>
    <xf numFmtId="165" fontId="0" fillId="0" borderId="0" xfId="1" applyNumberFormat="1" applyFont="1" applyBorder="1"/>
    <xf numFmtId="165" fontId="17" fillId="0" borderId="5" xfId="1" applyNumberFormat="1" applyFont="1" applyBorder="1"/>
    <xf numFmtId="165" fontId="6" fillId="0" borderId="4" xfId="1" quotePrefix="1" applyNumberFormat="1" applyFont="1" applyFill="1" applyBorder="1" applyAlignment="1">
      <alignment horizontal="left"/>
    </xf>
    <xf numFmtId="165" fontId="19" fillId="0" borderId="0" xfId="1" applyNumberFormat="1" applyFont="1" applyBorder="1"/>
    <xf numFmtId="165" fontId="0" fillId="5" borderId="0" xfId="1" applyNumberFormat="1" applyFont="1" applyFill="1" applyBorder="1"/>
    <xf numFmtId="0" fontId="0" fillId="5" borderId="0" xfId="0" applyFill="1"/>
    <xf numFmtId="165" fontId="17" fillId="5" borderId="5" xfId="1" applyNumberFormat="1" applyFont="1" applyFill="1" applyBorder="1"/>
    <xf numFmtId="0" fontId="17" fillId="5" borderId="5" xfId="0" applyFont="1" applyFill="1" applyBorder="1"/>
    <xf numFmtId="165" fontId="0" fillId="5" borderId="0" xfId="1" applyNumberFormat="1" applyFont="1" applyFill="1"/>
    <xf numFmtId="1" fontId="0" fillId="0" borderId="0" xfId="0" applyNumberFormat="1"/>
    <xf numFmtId="168" fontId="0" fillId="0" borderId="0" xfId="1" applyNumberFormat="1" applyFont="1"/>
    <xf numFmtId="168" fontId="0" fillId="0" borderId="0" xfId="1" applyNumberFormat="1" applyFont="1" applyFill="1"/>
    <xf numFmtId="168" fontId="0" fillId="0" borderId="0" xfId="0" applyNumberFormat="1"/>
    <xf numFmtId="168" fontId="0" fillId="5" borderId="0" xfId="1" applyNumberFormat="1" applyFont="1" applyFill="1"/>
    <xf numFmtId="165" fontId="6" fillId="0" borderId="4" xfId="1" applyNumberFormat="1" applyFont="1" applyFill="1" applyBorder="1" applyAlignment="1">
      <alignment horizontal="right"/>
    </xf>
    <xf numFmtId="0" fontId="22" fillId="0" borderId="0" xfId="0" applyFont="1"/>
    <xf numFmtId="0" fontId="23" fillId="0" borderId="8" xfId="0" applyFont="1" applyBorder="1"/>
    <xf numFmtId="0" fontId="24" fillId="0" borderId="0" xfId="0" applyFont="1"/>
    <xf numFmtId="1" fontId="0" fillId="0" borderId="0" xfId="0" applyNumberFormat="1" applyAlignment="1">
      <alignment horizontal="center"/>
    </xf>
    <xf numFmtId="1" fontId="23" fillId="0" borderId="8" xfId="0" applyNumberFormat="1" applyFont="1" applyBorder="1" applyAlignment="1">
      <alignment horizontal="center"/>
    </xf>
    <xf numFmtId="0" fontId="23" fillId="0" borderId="0" xfId="0" applyFont="1"/>
    <xf numFmtId="0" fontId="25" fillId="0" borderId="0" xfId="0" applyFont="1"/>
    <xf numFmtId="0" fontId="20" fillId="0" borderId="0" xfId="0" applyFont="1"/>
    <xf numFmtId="0" fontId="20" fillId="0" borderId="0" xfId="0" applyFont="1" applyAlignment="1">
      <alignment horizontal="center"/>
    </xf>
    <xf numFmtId="166" fontId="0" fillId="0" borderId="0" xfId="0" applyNumberFormat="1" applyAlignment="1">
      <alignment horizontal="center"/>
    </xf>
    <xf numFmtId="169" fontId="0" fillId="0" borderId="0" xfId="0" applyNumberFormat="1" applyAlignment="1">
      <alignment horizontal="center"/>
    </xf>
    <xf numFmtId="0" fontId="0" fillId="0" borderId="0" xfId="0" applyAlignment="1">
      <alignment vertical="top" wrapText="1"/>
    </xf>
    <xf numFmtId="0" fontId="22" fillId="0" borderId="0" xfId="0" applyFont="1" applyAlignment="1">
      <alignment horizontal="center"/>
    </xf>
    <xf numFmtId="0" fontId="23" fillId="0" borderId="0" xfId="0" applyFont="1" applyAlignment="1">
      <alignment vertical="top"/>
    </xf>
    <xf numFmtId="1" fontId="23" fillId="0" borderId="8" xfId="0" applyNumberFormat="1" applyFont="1" applyBorder="1" applyAlignment="1">
      <alignment horizontal="left"/>
    </xf>
    <xf numFmtId="1" fontId="23" fillId="0" borderId="0" xfId="0" applyNumberFormat="1" applyFont="1" applyAlignment="1">
      <alignment horizontal="center"/>
    </xf>
    <xf numFmtId="2" fontId="23" fillId="0" borderId="0" xfId="0" applyNumberFormat="1" applyFont="1" applyAlignment="1">
      <alignment horizontal="center"/>
    </xf>
    <xf numFmtId="2" fontId="23" fillId="0" borderId="8" xfId="0" applyNumberFormat="1" applyFont="1" applyBorder="1" applyAlignment="1">
      <alignment horizontal="center"/>
    </xf>
    <xf numFmtId="1" fontId="23" fillId="0" borderId="0" xfId="0" applyNumberFormat="1" applyFont="1" applyAlignment="1">
      <alignment horizontal="left"/>
    </xf>
    <xf numFmtId="0" fontId="21" fillId="3" borderId="0" xfId="0" applyFont="1" applyFill="1" applyAlignment="1">
      <alignment horizontal="center"/>
    </xf>
    <xf numFmtId="167" fontId="6" fillId="0" borderId="4" xfId="1" applyNumberFormat="1" applyFont="1" applyFill="1" applyBorder="1" applyAlignment="1">
      <alignment horizontal="right"/>
    </xf>
    <xf numFmtId="0" fontId="0" fillId="0" borderId="0" xfId="0" applyAlignment="1">
      <alignment wrapText="1"/>
    </xf>
    <xf numFmtId="165" fontId="2" fillId="5" borderId="1" xfId="1" applyNumberFormat="1" applyFont="1" applyFill="1" applyBorder="1" applyAlignment="1">
      <alignment horizontal="right" vertical="center" wrapText="1" readingOrder="1"/>
    </xf>
    <xf numFmtId="165" fontId="8" fillId="0" borderId="0" xfId="1" applyNumberFormat="1" applyFont="1" applyFill="1" applyBorder="1" applyAlignment="1">
      <alignment horizontal="right"/>
    </xf>
    <xf numFmtId="165" fontId="6" fillId="5" borderId="4" xfId="1" applyNumberFormat="1" applyFont="1" applyFill="1" applyBorder="1" applyAlignment="1">
      <alignment horizontal="right"/>
    </xf>
    <xf numFmtId="0" fontId="3" fillId="2" borderId="0" xfId="0" applyFont="1" applyFill="1" applyAlignment="1">
      <alignment horizontal="left" vertical="center" wrapText="1" readingOrder="1"/>
    </xf>
    <xf numFmtId="0" fontId="6" fillId="0" borderId="6" xfId="2" applyFont="1" applyBorder="1" applyAlignment="1">
      <alignment horizontal="left" vertical="center"/>
    </xf>
    <xf numFmtId="0" fontId="6" fillId="0" borderId="0" xfId="2" applyFont="1" applyAlignment="1">
      <alignment horizontal="left" vertical="center"/>
    </xf>
    <xf numFmtId="0" fontId="6" fillId="0" borderId="7" xfId="2"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1" fontId="23" fillId="0" borderId="8" xfId="0" applyNumberFormat="1" applyFont="1" applyBorder="1" applyAlignment="1">
      <alignment horizontal="center"/>
    </xf>
    <xf numFmtId="1" fontId="23" fillId="0" borderId="0" xfId="0" applyNumberFormat="1" applyFont="1" applyAlignment="1">
      <alignment horizontal="center"/>
    </xf>
    <xf numFmtId="1" fontId="23" fillId="0" borderId="7" xfId="0" applyNumberFormat="1" applyFont="1" applyBorder="1" applyAlignment="1">
      <alignment horizontal="center"/>
    </xf>
    <xf numFmtId="0" fontId="22" fillId="0" borderId="0" xfId="0" applyFont="1" applyAlignment="1">
      <alignment horizontal="center"/>
    </xf>
    <xf numFmtId="0" fontId="20" fillId="3" borderId="0" xfId="0" applyFont="1" applyFill="1" applyAlignment="1">
      <alignment horizontal="center"/>
    </xf>
    <xf numFmtId="0" fontId="20" fillId="2" borderId="0" xfId="0" applyFont="1" applyFill="1" applyAlignment="1">
      <alignment horizontal="center"/>
    </xf>
    <xf numFmtId="0" fontId="20" fillId="0" borderId="0" xfId="0" applyFont="1" applyAlignment="1">
      <alignment horizontal="center"/>
    </xf>
  </cellXfs>
  <cellStyles count="4">
    <cellStyle name="Comma" xfId="1" builtinId="3"/>
    <cellStyle name="Normal" xfId="0" builtinId="0"/>
    <cellStyle name="Normal 6" xfId="2" xr:uid="{5DC2E449-34AB-48C4-ADF3-D9E06EC8E62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70078-96A6-457F-AB76-2F869764C667}">
  <dimension ref="B4:M236"/>
  <sheetViews>
    <sheetView showGridLines="0" tabSelected="1" zoomScaleNormal="100" workbookViewId="0">
      <selection activeCell="M163" sqref="M163"/>
    </sheetView>
  </sheetViews>
  <sheetFormatPr defaultRowHeight="14.5" outlineLevelRow="1" x14ac:dyDescent="0.35"/>
  <cols>
    <col min="2" max="2" width="95.54296875" bestFit="1" customWidth="1"/>
    <col min="3" max="3" width="3.453125" customWidth="1"/>
    <col min="4" max="6" width="13.1796875" style="31" customWidth="1"/>
    <col min="7" max="7" width="13" style="31" customWidth="1"/>
    <col min="8" max="8" width="13.1796875" style="31" customWidth="1"/>
    <col min="9" max="9" width="13" style="31" customWidth="1"/>
    <col min="10" max="10" width="13.1796875" bestFit="1" customWidth="1"/>
    <col min="11" max="11" width="35.453125" bestFit="1" customWidth="1"/>
  </cols>
  <sheetData>
    <row r="4" spans="2:13" x14ac:dyDescent="0.35">
      <c r="B4" s="9" t="s">
        <v>177</v>
      </c>
      <c r="D4" s="66">
        <v>2021</v>
      </c>
      <c r="E4" s="66">
        <v>2022</v>
      </c>
      <c r="F4" s="66">
        <v>2023</v>
      </c>
      <c r="G4" s="66" t="s">
        <v>176</v>
      </c>
      <c r="H4" s="66">
        <v>2024</v>
      </c>
      <c r="I4" s="66" t="s">
        <v>181</v>
      </c>
    </row>
    <row r="5" spans="2:13" x14ac:dyDescent="0.35">
      <c r="B5" s="4"/>
      <c r="D5" s="24"/>
      <c r="E5" s="24"/>
      <c r="F5" s="24"/>
      <c r="G5" s="24"/>
      <c r="H5" s="24"/>
      <c r="I5" s="24"/>
    </row>
    <row r="6" spans="2:13" x14ac:dyDescent="0.35">
      <c r="B6" s="10" t="s">
        <v>0</v>
      </c>
      <c r="C6" s="14"/>
      <c r="D6" s="25"/>
      <c r="E6" s="25"/>
      <c r="F6" s="25"/>
      <c r="G6" s="25"/>
      <c r="H6" s="25"/>
      <c r="I6" s="25"/>
    </row>
    <row r="7" spans="2:13" ht="7.5" customHeight="1" x14ac:dyDescent="0.35">
      <c r="B7" s="12"/>
      <c r="C7" s="14"/>
      <c r="D7" s="26"/>
      <c r="E7" s="26"/>
      <c r="F7" s="26"/>
      <c r="G7" s="26"/>
      <c r="H7" s="26"/>
      <c r="I7" s="26"/>
    </row>
    <row r="8" spans="2:13" outlineLevel="1" x14ac:dyDescent="0.35">
      <c r="B8" s="13" t="s">
        <v>163</v>
      </c>
      <c r="C8" s="14"/>
      <c r="D8" s="26"/>
      <c r="E8" s="26"/>
      <c r="F8" s="26"/>
      <c r="G8" s="26"/>
      <c r="H8" s="26"/>
      <c r="I8" s="26"/>
    </row>
    <row r="9" spans="2:13" outlineLevel="1" x14ac:dyDescent="0.35">
      <c r="B9" s="3" t="s">
        <v>1</v>
      </c>
      <c r="C9" s="14"/>
      <c r="D9" s="32">
        <v>2278.1</v>
      </c>
      <c r="E9" s="32">
        <v>3545</v>
      </c>
      <c r="F9" s="32">
        <f>F21-F15</f>
        <v>2179</v>
      </c>
      <c r="G9" s="61"/>
      <c r="H9" s="32">
        <v>2846</v>
      </c>
      <c r="I9" s="32">
        <v>1761</v>
      </c>
      <c r="L9" s="63"/>
    </row>
    <row r="10" spans="2:13" outlineLevel="1" x14ac:dyDescent="0.35">
      <c r="B10" s="3" t="s">
        <v>2</v>
      </c>
      <c r="C10" s="14"/>
      <c r="D10" s="32">
        <v>2526.5</v>
      </c>
      <c r="E10" s="32">
        <v>4754</v>
      </c>
      <c r="F10" s="32">
        <f>F22-F16</f>
        <v>2233</v>
      </c>
      <c r="G10" s="61"/>
      <c r="H10" s="32">
        <v>2986</v>
      </c>
      <c r="I10" s="32">
        <v>3147</v>
      </c>
      <c r="L10" s="63"/>
    </row>
    <row r="11" spans="2:13" ht="15" outlineLevel="1" thickBot="1" x14ac:dyDescent="0.4">
      <c r="B11" s="3" t="s">
        <v>3</v>
      </c>
      <c r="C11" s="14"/>
      <c r="D11" s="32">
        <v>163.6</v>
      </c>
      <c r="E11" s="32">
        <v>238</v>
      </c>
      <c r="F11" s="32">
        <f>F23-F17</f>
        <v>179</v>
      </c>
      <c r="G11" s="61"/>
      <c r="H11" s="32">
        <v>283</v>
      </c>
      <c r="I11" s="32">
        <v>267</v>
      </c>
      <c r="L11" s="63"/>
    </row>
    <row r="12" spans="2:13" ht="15" outlineLevel="1" thickBot="1" x14ac:dyDescent="0.4">
      <c r="B12" s="5" t="s">
        <v>4</v>
      </c>
      <c r="C12" s="14"/>
      <c r="D12" s="33">
        <f>SUM(D9:D11)</f>
        <v>4968.2000000000007</v>
      </c>
      <c r="E12" s="33">
        <f>SUM(E9:E11)</f>
        <v>8537</v>
      </c>
      <c r="F12" s="33">
        <f>SUM(F9:F11)</f>
        <v>4591</v>
      </c>
      <c r="G12" s="62"/>
      <c r="H12" s="33">
        <f>SUM(H9:H11)</f>
        <v>6115</v>
      </c>
      <c r="I12" s="33">
        <f>SUM(I9:I11)</f>
        <v>5175</v>
      </c>
      <c r="L12" s="63"/>
    </row>
    <row r="13" spans="2:13" ht="11.25" customHeight="1" outlineLevel="1" x14ac:dyDescent="0.35">
      <c r="B13" s="14"/>
      <c r="C13" s="14"/>
      <c r="D13" s="34"/>
      <c r="E13" s="34"/>
      <c r="F13" s="34"/>
      <c r="G13" s="34"/>
      <c r="H13" s="35"/>
      <c r="I13" s="34"/>
      <c r="L13" s="63"/>
    </row>
    <row r="14" spans="2:13" outlineLevel="1" x14ac:dyDescent="0.35">
      <c r="B14" s="13" t="s">
        <v>5</v>
      </c>
      <c r="C14" s="15"/>
      <c r="D14" s="36"/>
      <c r="E14" s="36"/>
      <c r="F14" s="36"/>
      <c r="G14" s="36"/>
      <c r="H14" s="37"/>
      <c r="I14" s="36"/>
      <c r="L14" s="63"/>
      <c r="M14" s="2"/>
    </row>
    <row r="15" spans="2:13" outlineLevel="1" x14ac:dyDescent="0.35">
      <c r="B15" s="3" t="s">
        <v>6</v>
      </c>
      <c r="C15" s="14"/>
      <c r="D15" s="32">
        <v>-254.7</v>
      </c>
      <c r="E15" s="32">
        <v>-753</v>
      </c>
      <c r="F15" s="32">
        <v>-93</v>
      </c>
      <c r="G15" s="61"/>
      <c r="H15" s="32">
        <v>32</v>
      </c>
      <c r="I15" s="32">
        <v>35</v>
      </c>
      <c r="L15" s="63"/>
    </row>
    <row r="16" spans="2:13" outlineLevel="1" x14ac:dyDescent="0.35">
      <c r="B16" s="3" t="s">
        <v>7</v>
      </c>
      <c r="C16" s="14"/>
      <c r="D16" s="32">
        <v>-1262.5</v>
      </c>
      <c r="E16" s="32">
        <v>-2432</v>
      </c>
      <c r="F16" s="32">
        <v>-818</v>
      </c>
      <c r="G16" s="61"/>
      <c r="H16" s="32">
        <v>-50</v>
      </c>
      <c r="I16" s="32">
        <v>-63</v>
      </c>
      <c r="L16" s="63"/>
    </row>
    <row r="17" spans="2:12" ht="15" outlineLevel="1" thickBot="1" x14ac:dyDescent="0.4">
      <c r="B17" s="3" t="s">
        <v>8</v>
      </c>
      <c r="C17" s="14"/>
      <c r="D17" s="32">
        <v>0</v>
      </c>
      <c r="E17" s="32">
        <v>0</v>
      </c>
      <c r="F17" s="32">
        <v>0</v>
      </c>
      <c r="G17" s="61"/>
      <c r="H17" s="32">
        <v>0</v>
      </c>
      <c r="I17" s="32">
        <v>0</v>
      </c>
      <c r="L17" s="63"/>
    </row>
    <row r="18" spans="2:12" ht="15" outlineLevel="1" thickBot="1" x14ac:dyDescent="0.4">
      <c r="B18" s="16" t="s">
        <v>4</v>
      </c>
      <c r="C18" s="14"/>
      <c r="D18" s="33">
        <f>SUM(D15:D17)</f>
        <v>-1517.2</v>
      </c>
      <c r="E18" s="33">
        <f>SUM(E15:E17)</f>
        <v>-3185</v>
      </c>
      <c r="F18" s="33">
        <f>SUM(F15:F17)</f>
        <v>-911</v>
      </c>
      <c r="G18" s="62"/>
      <c r="H18" s="33">
        <f>SUM(H15:H17)</f>
        <v>-18</v>
      </c>
      <c r="I18" s="33">
        <f>SUM(I15:I17)</f>
        <v>-28</v>
      </c>
      <c r="L18" s="63"/>
    </row>
    <row r="19" spans="2:12" ht="7.5" customHeight="1" outlineLevel="1" x14ac:dyDescent="0.35">
      <c r="B19" s="14"/>
      <c r="C19" s="14"/>
      <c r="D19" s="34"/>
      <c r="E19" s="34"/>
      <c r="F19" s="34"/>
      <c r="G19" s="34"/>
      <c r="H19" s="35"/>
      <c r="I19" s="34"/>
      <c r="L19" s="63"/>
    </row>
    <row r="20" spans="2:12" outlineLevel="1" x14ac:dyDescent="0.35">
      <c r="B20" s="13" t="s">
        <v>9</v>
      </c>
      <c r="C20" s="15"/>
      <c r="D20" s="36"/>
      <c r="E20" s="36"/>
      <c r="F20" s="36"/>
      <c r="G20" s="36"/>
      <c r="H20" s="37"/>
      <c r="I20" s="36"/>
      <c r="L20" s="63"/>
    </row>
    <row r="21" spans="2:12" outlineLevel="1" x14ac:dyDescent="0.35">
      <c r="B21" s="3" t="s">
        <v>1</v>
      </c>
      <c r="C21" s="14"/>
      <c r="D21" s="32">
        <f t="shared" ref="D21:E23" si="0">D9+D15</f>
        <v>2023.3999999999999</v>
      </c>
      <c r="E21" s="32">
        <f t="shared" si="0"/>
        <v>2792</v>
      </c>
      <c r="F21" s="32">
        <v>2086</v>
      </c>
      <c r="G21" s="32">
        <v>1114</v>
      </c>
      <c r="H21" s="32">
        <f t="shared" ref="H21:I23" si="1">H15+H9</f>
        <v>2878</v>
      </c>
      <c r="I21" s="32">
        <f t="shared" si="1"/>
        <v>1796</v>
      </c>
      <c r="L21" s="63"/>
    </row>
    <row r="22" spans="2:12" outlineLevel="1" x14ac:dyDescent="0.35">
      <c r="B22" s="3" t="s">
        <v>2</v>
      </c>
      <c r="C22" s="14"/>
      <c r="D22" s="32">
        <f t="shared" si="0"/>
        <v>1264</v>
      </c>
      <c r="E22" s="32">
        <f t="shared" si="0"/>
        <v>2322</v>
      </c>
      <c r="F22" s="32">
        <v>1415</v>
      </c>
      <c r="G22" s="32">
        <v>692</v>
      </c>
      <c r="H22" s="32">
        <f t="shared" si="1"/>
        <v>2936</v>
      </c>
      <c r="I22" s="32">
        <f t="shared" si="1"/>
        <v>3084</v>
      </c>
      <c r="L22" s="63"/>
    </row>
    <row r="23" spans="2:12" ht="15" outlineLevel="1" thickBot="1" x14ac:dyDescent="0.4">
      <c r="B23" s="3" t="s">
        <v>3</v>
      </c>
      <c r="C23" s="14"/>
      <c r="D23" s="32">
        <f t="shared" si="0"/>
        <v>163.6</v>
      </c>
      <c r="E23" s="32">
        <f t="shared" si="0"/>
        <v>238</v>
      </c>
      <c r="F23" s="32">
        <v>179</v>
      </c>
      <c r="G23" s="32">
        <v>81</v>
      </c>
      <c r="H23" s="32">
        <f t="shared" si="1"/>
        <v>283</v>
      </c>
      <c r="I23" s="32">
        <f t="shared" si="1"/>
        <v>267</v>
      </c>
      <c r="L23" s="63"/>
    </row>
    <row r="24" spans="2:12" ht="15" outlineLevel="1" thickBot="1" x14ac:dyDescent="0.4">
      <c r="B24" s="16" t="s">
        <v>10</v>
      </c>
      <c r="C24" s="14"/>
      <c r="D24" s="38">
        <f t="shared" ref="D24:I24" si="2">SUM(D21:D23)</f>
        <v>3450.9999999999995</v>
      </c>
      <c r="E24" s="38">
        <f t="shared" si="2"/>
        <v>5352</v>
      </c>
      <c r="F24" s="38">
        <f t="shared" si="2"/>
        <v>3680</v>
      </c>
      <c r="G24" s="38">
        <f t="shared" si="2"/>
        <v>1887</v>
      </c>
      <c r="H24" s="38">
        <f t="shared" si="2"/>
        <v>6097</v>
      </c>
      <c r="I24" s="38">
        <f t="shared" si="2"/>
        <v>5147</v>
      </c>
      <c r="L24" s="63"/>
    </row>
    <row r="25" spans="2:12" ht="15" outlineLevel="1" thickBot="1" x14ac:dyDescent="0.4">
      <c r="B25" s="3" t="s">
        <v>11</v>
      </c>
      <c r="C25" s="14"/>
      <c r="D25" s="34">
        <f>27.2+0.6+139.2</f>
        <v>167</v>
      </c>
      <c r="E25" s="34">
        <f>30+8+41</f>
        <v>79</v>
      </c>
      <c r="F25" s="34">
        <f>30+5+36</f>
        <v>71</v>
      </c>
      <c r="G25" s="34">
        <f>16+3+10</f>
        <v>29</v>
      </c>
      <c r="H25" s="35">
        <f>32+29+68</f>
        <v>129</v>
      </c>
      <c r="I25" s="27">
        <f>25+9+90</f>
        <v>124</v>
      </c>
      <c r="L25" s="63"/>
    </row>
    <row r="26" spans="2:12" ht="15" thickBot="1" x14ac:dyDescent="0.4">
      <c r="B26" s="16" t="s">
        <v>12</v>
      </c>
      <c r="C26" s="14"/>
      <c r="D26" s="39">
        <f t="shared" ref="D26:I26" si="3">D24+D25</f>
        <v>3617.9999999999995</v>
      </c>
      <c r="E26" s="39">
        <f t="shared" si="3"/>
        <v>5431</v>
      </c>
      <c r="F26" s="38">
        <f t="shared" si="3"/>
        <v>3751</v>
      </c>
      <c r="G26" s="38">
        <f t="shared" si="3"/>
        <v>1916</v>
      </c>
      <c r="H26" s="38">
        <f t="shared" si="3"/>
        <v>6226</v>
      </c>
      <c r="I26" s="38">
        <f t="shared" si="3"/>
        <v>5271</v>
      </c>
      <c r="L26" s="63"/>
    </row>
    <row r="27" spans="2:12" x14ac:dyDescent="0.35">
      <c r="B27" s="14"/>
      <c r="C27" s="14"/>
      <c r="D27" s="26"/>
      <c r="E27" s="26"/>
      <c r="F27" s="26"/>
      <c r="G27" s="26"/>
      <c r="H27" s="27"/>
      <c r="I27" s="26"/>
      <c r="L27" s="63"/>
    </row>
    <row r="28" spans="2:12" x14ac:dyDescent="0.35">
      <c r="B28" s="10" t="s">
        <v>13</v>
      </c>
      <c r="C28" s="14"/>
      <c r="D28" s="25"/>
      <c r="E28" s="25"/>
      <c r="F28" s="25"/>
      <c r="G28" s="25"/>
      <c r="H28" s="28"/>
      <c r="I28" s="25"/>
      <c r="L28" s="63"/>
    </row>
    <row r="29" spans="2:12" ht="6" customHeight="1" x14ac:dyDescent="0.35">
      <c r="B29" s="3"/>
      <c r="C29" s="14"/>
      <c r="D29" s="26"/>
      <c r="E29" s="26"/>
      <c r="F29" s="26"/>
      <c r="G29" s="26"/>
      <c r="H29" s="27"/>
      <c r="I29" s="26"/>
      <c r="L29" s="63"/>
    </row>
    <row r="30" spans="2:12" outlineLevel="1" x14ac:dyDescent="0.35">
      <c r="B30" s="3" t="s">
        <v>14</v>
      </c>
      <c r="C30" s="14"/>
      <c r="D30" s="32">
        <v>-1085.5</v>
      </c>
      <c r="E30" s="32">
        <v>-1114</v>
      </c>
      <c r="F30" s="32">
        <v>-1171</v>
      </c>
      <c r="G30" s="32">
        <v>-561</v>
      </c>
      <c r="H30" s="32">
        <v>-1612</v>
      </c>
      <c r="I30" s="32">
        <v>-1142</v>
      </c>
      <c r="L30" s="63"/>
    </row>
    <row r="31" spans="2:12" outlineLevel="1" x14ac:dyDescent="0.35">
      <c r="B31" s="3" t="s">
        <v>15</v>
      </c>
      <c r="C31" s="14"/>
      <c r="D31" s="32">
        <v>-28.4</v>
      </c>
      <c r="E31" s="32">
        <v>-36</v>
      </c>
      <c r="F31" s="32">
        <v>-12</v>
      </c>
      <c r="G31" s="32">
        <v>-5</v>
      </c>
      <c r="H31" s="32">
        <v>-28</v>
      </c>
      <c r="I31" s="32">
        <v>-49</v>
      </c>
      <c r="L31" s="63"/>
    </row>
    <row r="32" spans="2:12" outlineLevel="1" x14ac:dyDescent="0.35">
      <c r="B32" s="3" t="s">
        <v>16</v>
      </c>
      <c r="C32" s="14"/>
      <c r="D32" s="32">
        <v>-3.8</v>
      </c>
      <c r="E32" s="32">
        <v>-5</v>
      </c>
      <c r="F32" s="32">
        <v>-4</v>
      </c>
      <c r="G32" s="32">
        <v>-3</v>
      </c>
      <c r="H32" s="32">
        <v>-47</v>
      </c>
      <c r="I32" s="32">
        <v>-74</v>
      </c>
      <c r="L32" s="63"/>
    </row>
    <row r="33" spans="2:12" outlineLevel="1" x14ac:dyDescent="0.35">
      <c r="B33" s="3" t="s">
        <v>17</v>
      </c>
      <c r="C33" s="14"/>
      <c r="D33" s="32">
        <v>0</v>
      </c>
      <c r="E33" s="32">
        <v>0</v>
      </c>
      <c r="F33" s="32">
        <v>0</v>
      </c>
      <c r="G33" s="32"/>
      <c r="H33" s="32">
        <v>-21</v>
      </c>
      <c r="I33" s="32">
        <v>-28</v>
      </c>
      <c r="L33" s="63"/>
    </row>
    <row r="34" spans="2:12" outlineLevel="1" x14ac:dyDescent="0.35">
      <c r="B34" s="3" t="s">
        <v>18</v>
      </c>
      <c r="C34" s="14"/>
      <c r="D34" s="32">
        <v>-1204.0999999999999</v>
      </c>
      <c r="E34" s="32">
        <v>-1319</v>
      </c>
      <c r="F34" s="32">
        <v>-1206</v>
      </c>
      <c r="G34" s="32">
        <v>-466</v>
      </c>
      <c r="H34" s="32">
        <v>-1516</v>
      </c>
      <c r="I34" s="32">
        <v>-1438</v>
      </c>
      <c r="L34" s="63"/>
    </row>
    <row r="35" spans="2:12" outlineLevel="1" x14ac:dyDescent="0.35">
      <c r="B35" s="3" t="s">
        <v>19</v>
      </c>
      <c r="C35" s="14"/>
      <c r="D35" s="32">
        <v>-153.9</v>
      </c>
      <c r="E35" s="32">
        <v>-219</v>
      </c>
      <c r="F35" s="32">
        <v>-235</v>
      </c>
      <c r="G35" s="32">
        <v>-137</v>
      </c>
      <c r="H35" s="32">
        <v>-269</v>
      </c>
      <c r="I35" s="32">
        <v>-120</v>
      </c>
      <c r="L35" s="63"/>
    </row>
    <row r="36" spans="2:12" outlineLevel="1" x14ac:dyDescent="0.35">
      <c r="B36" s="3" t="s">
        <v>20</v>
      </c>
      <c r="C36" s="14"/>
      <c r="D36" s="32">
        <v>30.7</v>
      </c>
      <c r="E36" s="32">
        <v>30</v>
      </c>
      <c r="F36" s="32">
        <v>27</v>
      </c>
      <c r="G36" s="32">
        <v>38</v>
      </c>
      <c r="H36" s="32">
        <v>81</v>
      </c>
      <c r="I36" s="32">
        <v>39</v>
      </c>
      <c r="L36" s="63"/>
    </row>
    <row r="37" spans="2:12" outlineLevel="1" x14ac:dyDescent="0.35">
      <c r="B37" s="3" t="s">
        <v>21</v>
      </c>
      <c r="C37" s="14"/>
      <c r="D37" s="32">
        <v>-1.6</v>
      </c>
      <c r="E37" s="32">
        <v>-1</v>
      </c>
      <c r="F37" s="32">
        <v>0</v>
      </c>
      <c r="G37" s="32">
        <v>0</v>
      </c>
      <c r="H37" s="32">
        <v>0</v>
      </c>
      <c r="I37" s="32">
        <v>0</v>
      </c>
      <c r="L37" s="63"/>
    </row>
    <row r="38" spans="2:12" outlineLevel="1" x14ac:dyDescent="0.35">
      <c r="B38" s="3" t="s">
        <v>22</v>
      </c>
      <c r="C38" s="14"/>
      <c r="D38" s="32">
        <v>-9.6</v>
      </c>
      <c r="E38" s="32">
        <v>-181</v>
      </c>
      <c r="F38" s="32">
        <v>225</v>
      </c>
      <c r="G38" s="32">
        <v>-44</v>
      </c>
      <c r="H38" s="32">
        <v>-201</v>
      </c>
      <c r="I38" s="32">
        <v>91</v>
      </c>
      <c r="L38" s="63"/>
    </row>
    <row r="39" spans="2:12" ht="15" outlineLevel="1" thickBot="1" x14ac:dyDescent="0.4">
      <c r="B39" s="3" t="s">
        <v>23</v>
      </c>
      <c r="C39" s="14"/>
      <c r="D39" s="32">
        <f>0.5+2.3+0.5-0.3</f>
        <v>3</v>
      </c>
      <c r="E39" s="32">
        <v>0</v>
      </c>
      <c r="F39" s="32">
        <v>0</v>
      </c>
      <c r="G39" s="32">
        <v>0</v>
      </c>
      <c r="H39" s="32">
        <v>0</v>
      </c>
      <c r="I39" s="32">
        <v>0</v>
      </c>
      <c r="L39" s="63"/>
    </row>
    <row r="40" spans="2:12" ht="15" thickBot="1" x14ac:dyDescent="0.4">
      <c r="B40" s="16" t="s">
        <v>24</v>
      </c>
      <c r="C40" s="14"/>
      <c r="D40" s="40">
        <f t="shared" ref="D40:I40" si="4">SUM(D30:D39)</f>
        <v>-2453.2000000000003</v>
      </c>
      <c r="E40" s="40">
        <f t="shared" si="4"/>
        <v>-2845</v>
      </c>
      <c r="F40" s="40">
        <f t="shared" si="4"/>
        <v>-2376</v>
      </c>
      <c r="G40" s="40">
        <f t="shared" si="4"/>
        <v>-1178</v>
      </c>
      <c r="H40" s="40">
        <f t="shared" si="4"/>
        <v>-3613</v>
      </c>
      <c r="I40" s="40">
        <f t="shared" si="4"/>
        <v>-2721</v>
      </c>
      <c r="L40" s="63"/>
    </row>
    <row r="41" spans="2:12" ht="5.25" customHeight="1" x14ac:dyDescent="0.35">
      <c r="B41" s="17"/>
      <c r="C41" s="14"/>
      <c r="D41" s="41"/>
      <c r="E41" s="41"/>
      <c r="F41" s="42"/>
      <c r="G41" s="42"/>
      <c r="H41" s="42"/>
      <c r="I41" s="42"/>
      <c r="L41" s="63"/>
    </row>
    <row r="42" spans="2:12" ht="15" customHeight="1" outlineLevel="1" x14ac:dyDescent="0.35">
      <c r="B42" s="18" t="s">
        <v>25</v>
      </c>
      <c r="C42" s="14"/>
      <c r="D42" s="41"/>
      <c r="E42" s="41"/>
      <c r="F42" s="42"/>
      <c r="G42" s="42"/>
      <c r="H42" s="42"/>
      <c r="I42" s="42"/>
      <c r="L42" s="63"/>
    </row>
    <row r="43" spans="2:12" outlineLevel="1" x14ac:dyDescent="0.35">
      <c r="B43" s="3" t="s">
        <v>26</v>
      </c>
      <c r="C43" s="14"/>
      <c r="D43" s="32">
        <v>-108.7</v>
      </c>
      <c r="E43" s="32">
        <v>88</v>
      </c>
      <c r="F43" s="32">
        <v>-70</v>
      </c>
      <c r="G43" s="32">
        <v>-49</v>
      </c>
      <c r="H43" s="32">
        <v>-178</v>
      </c>
      <c r="I43" s="32">
        <v>-155</v>
      </c>
      <c r="L43" s="63"/>
    </row>
    <row r="44" spans="2:12" outlineLevel="1" x14ac:dyDescent="0.35">
      <c r="B44" s="3" t="s">
        <v>27</v>
      </c>
      <c r="C44" s="14"/>
      <c r="D44" s="32">
        <v>-8.5</v>
      </c>
      <c r="E44" s="32">
        <v>82</v>
      </c>
      <c r="F44" s="32">
        <v>-106</v>
      </c>
      <c r="G44" s="32">
        <v>16</v>
      </c>
      <c r="H44" s="32">
        <v>-174</v>
      </c>
      <c r="I44" s="32">
        <v>-31</v>
      </c>
      <c r="L44" s="63"/>
    </row>
    <row r="45" spans="2:12" outlineLevel="1" x14ac:dyDescent="0.35">
      <c r="B45" s="3" t="s">
        <v>28</v>
      </c>
      <c r="C45" s="14"/>
      <c r="D45" s="32">
        <v>0</v>
      </c>
      <c r="E45" s="32">
        <v>0</v>
      </c>
      <c r="F45" s="32">
        <v>-25</v>
      </c>
      <c r="G45" s="32"/>
      <c r="H45" s="32">
        <v>0</v>
      </c>
      <c r="I45" s="32">
        <v>0</v>
      </c>
      <c r="L45" s="63"/>
    </row>
    <row r="46" spans="2:12" outlineLevel="1" x14ac:dyDescent="0.35">
      <c r="B46" s="3" t="s">
        <v>29</v>
      </c>
      <c r="C46" s="14"/>
      <c r="D46" s="32">
        <v>0</v>
      </c>
      <c r="E46" s="32">
        <v>0</v>
      </c>
      <c r="F46" s="32">
        <v>0</v>
      </c>
      <c r="G46" s="32">
        <v>-20</v>
      </c>
      <c r="H46" s="32">
        <v>-20</v>
      </c>
      <c r="I46" s="32">
        <v>0</v>
      </c>
      <c r="L46" s="63"/>
    </row>
    <row r="47" spans="2:12" outlineLevel="1" x14ac:dyDescent="0.35">
      <c r="B47" s="3" t="s">
        <v>30</v>
      </c>
      <c r="C47" s="14"/>
      <c r="D47" s="32">
        <v>-255</v>
      </c>
      <c r="E47" s="32">
        <v>-64</v>
      </c>
      <c r="F47" s="32">
        <v>-57</v>
      </c>
      <c r="G47" s="32">
        <v>-17</v>
      </c>
      <c r="H47" s="32">
        <v>-173</v>
      </c>
      <c r="I47" s="32">
        <v>-34</v>
      </c>
      <c r="L47" s="63"/>
    </row>
    <row r="48" spans="2:12" outlineLevel="1" x14ac:dyDescent="0.35">
      <c r="B48" s="3" t="s">
        <v>31</v>
      </c>
      <c r="C48" s="14"/>
      <c r="D48" s="32">
        <v>-49.8</v>
      </c>
      <c r="E48" s="32">
        <v>-42</v>
      </c>
      <c r="F48" s="32">
        <v>-36</v>
      </c>
      <c r="G48" s="32">
        <v>-22</v>
      </c>
      <c r="H48" s="32">
        <v>-68</v>
      </c>
      <c r="I48" s="32">
        <v>-63</v>
      </c>
      <c r="L48" s="63"/>
    </row>
    <row r="49" spans="2:12" ht="15" outlineLevel="1" thickBot="1" x14ac:dyDescent="0.4">
      <c r="B49" s="3" t="s">
        <v>32</v>
      </c>
      <c r="C49" s="14"/>
      <c r="D49" s="32">
        <v>-0.1</v>
      </c>
      <c r="E49" s="32">
        <v>12</v>
      </c>
      <c r="F49" s="32">
        <v>0</v>
      </c>
      <c r="G49" s="32">
        <v>0</v>
      </c>
      <c r="H49" s="32">
        <v>0</v>
      </c>
      <c r="I49" s="32">
        <v>0</v>
      </c>
      <c r="L49" s="63"/>
    </row>
    <row r="50" spans="2:12" ht="15" thickBot="1" x14ac:dyDescent="0.4">
      <c r="B50" s="16" t="s">
        <v>33</v>
      </c>
      <c r="C50" s="14"/>
      <c r="D50" s="40">
        <f t="shared" ref="D50:I50" si="5">SUM(D43:D49)</f>
        <v>-422.1</v>
      </c>
      <c r="E50" s="40">
        <f t="shared" si="5"/>
        <v>76</v>
      </c>
      <c r="F50" s="40">
        <f t="shared" si="5"/>
        <v>-294</v>
      </c>
      <c r="G50" s="40">
        <f t="shared" si="5"/>
        <v>-92</v>
      </c>
      <c r="H50" s="40">
        <f t="shared" si="5"/>
        <v>-613</v>
      </c>
      <c r="I50" s="40">
        <f t="shared" si="5"/>
        <v>-283</v>
      </c>
      <c r="L50" s="63"/>
    </row>
    <row r="51" spans="2:12" ht="6" customHeight="1" x14ac:dyDescent="0.35">
      <c r="B51" s="14"/>
      <c r="C51" s="14"/>
      <c r="D51" s="34"/>
      <c r="E51" s="34"/>
      <c r="F51" s="32"/>
      <c r="G51" s="32"/>
      <c r="H51" s="32"/>
      <c r="I51" s="32"/>
      <c r="L51" s="63"/>
    </row>
    <row r="52" spans="2:12" outlineLevel="1" x14ac:dyDescent="0.35">
      <c r="B52" s="18" t="s">
        <v>34</v>
      </c>
      <c r="C52" s="14"/>
      <c r="D52" s="34"/>
      <c r="E52" s="34"/>
      <c r="F52" s="32"/>
      <c r="G52" s="32"/>
      <c r="H52" s="32"/>
      <c r="I52" s="32"/>
      <c r="L52" s="63"/>
    </row>
    <row r="53" spans="2:12" outlineLevel="1" x14ac:dyDescent="0.35">
      <c r="B53" s="3" t="s">
        <v>35</v>
      </c>
      <c r="C53" s="14"/>
      <c r="D53" s="32">
        <v>-10.5</v>
      </c>
      <c r="E53" s="32">
        <v>-11</v>
      </c>
      <c r="F53" s="32">
        <v>-9</v>
      </c>
      <c r="G53" s="32">
        <v>-6</v>
      </c>
      <c r="H53" s="32">
        <v>-16</v>
      </c>
      <c r="I53" s="32">
        <v>-8</v>
      </c>
      <c r="L53" s="63"/>
    </row>
    <row r="54" spans="2:12" outlineLevel="1" x14ac:dyDescent="0.35">
      <c r="B54" s="3" t="s">
        <v>36</v>
      </c>
      <c r="C54" s="14"/>
      <c r="D54" s="32">
        <v>-5.5</v>
      </c>
      <c r="E54" s="32">
        <v>-5</v>
      </c>
      <c r="F54" s="32">
        <v>-3</v>
      </c>
      <c r="G54" s="32">
        <v>-2</v>
      </c>
      <c r="H54" s="32">
        <v>-6</v>
      </c>
      <c r="I54" s="32">
        <v>-7</v>
      </c>
      <c r="L54" s="63"/>
    </row>
    <row r="55" spans="2:12" outlineLevel="1" x14ac:dyDescent="0.35">
      <c r="B55" s="3" t="s">
        <v>37</v>
      </c>
      <c r="C55" s="14"/>
      <c r="D55" s="32">
        <v>-26.1</v>
      </c>
      <c r="E55" s="32">
        <v>-21</v>
      </c>
      <c r="F55" s="32">
        <v>-23</v>
      </c>
      <c r="G55" s="32">
        <v>-9</v>
      </c>
      <c r="H55" s="32">
        <v>-19</v>
      </c>
      <c r="I55" s="32">
        <v>-10</v>
      </c>
      <c r="L55" s="63"/>
    </row>
    <row r="56" spans="2:12" outlineLevel="1" x14ac:dyDescent="0.35">
      <c r="B56" s="3" t="s">
        <v>38</v>
      </c>
      <c r="C56" s="14"/>
      <c r="D56" s="32">
        <v>0</v>
      </c>
      <c r="E56" s="32">
        <v>0</v>
      </c>
      <c r="F56" s="32">
        <v>-33</v>
      </c>
      <c r="G56" s="32">
        <v>0</v>
      </c>
      <c r="H56" s="32">
        <v>-119</v>
      </c>
      <c r="I56" s="32">
        <v>-11</v>
      </c>
      <c r="L56" s="63"/>
    </row>
    <row r="57" spans="2:12" ht="15" outlineLevel="1" thickBot="1" x14ac:dyDescent="0.4">
      <c r="B57" s="3" t="s">
        <v>39</v>
      </c>
      <c r="C57" s="14"/>
      <c r="D57" s="32">
        <v>-60.4</v>
      </c>
      <c r="E57" s="32">
        <v>-84</v>
      </c>
      <c r="F57" s="32">
        <f>-81</f>
        <v>-81</v>
      </c>
      <c r="G57" s="32">
        <v>-87</v>
      </c>
      <c r="H57" s="32">
        <v>-192</v>
      </c>
      <c r="I57" s="32">
        <v>-210</v>
      </c>
      <c r="L57" s="63"/>
    </row>
    <row r="58" spans="2:12" ht="15" thickBot="1" x14ac:dyDescent="0.4">
      <c r="B58" s="16" t="s">
        <v>40</v>
      </c>
      <c r="C58" s="14"/>
      <c r="D58" s="40">
        <f t="shared" ref="D58:I58" si="6">SUM(D53:D57)</f>
        <v>-102.5</v>
      </c>
      <c r="E58" s="40">
        <f t="shared" si="6"/>
        <v>-121</v>
      </c>
      <c r="F58" s="40">
        <f t="shared" si="6"/>
        <v>-149</v>
      </c>
      <c r="G58" s="40">
        <f t="shared" si="6"/>
        <v>-104</v>
      </c>
      <c r="H58" s="40">
        <f t="shared" si="6"/>
        <v>-352</v>
      </c>
      <c r="I58" s="40">
        <f t="shared" si="6"/>
        <v>-246</v>
      </c>
      <c r="L58" s="63"/>
    </row>
    <row r="59" spans="2:12" x14ac:dyDescent="0.35">
      <c r="B59" s="3"/>
      <c r="C59" s="14"/>
      <c r="D59" s="26"/>
      <c r="E59" s="26"/>
      <c r="F59" s="26"/>
      <c r="G59" s="26"/>
      <c r="H59" s="27"/>
      <c r="I59" s="26"/>
      <c r="L59" s="63"/>
    </row>
    <row r="60" spans="2:12" x14ac:dyDescent="0.35">
      <c r="B60" s="10" t="s">
        <v>41</v>
      </c>
      <c r="C60" s="14"/>
      <c r="D60" s="25"/>
      <c r="E60" s="25"/>
      <c r="F60" s="25"/>
      <c r="G60" s="25"/>
      <c r="H60" s="28"/>
      <c r="I60" s="25"/>
      <c r="L60" s="63"/>
    </row>
    <row r="61" spans="2:12" ht="6.75" customHeight="1" thickBot="1" x14ac:dyDescent="0.4">
      <c r="B61" s="3"/>
      <c r="C61" s="14"/>
      <c r="D61" s="26"/>
      <c r="E61" s="26"/>
      <c r="F61" s="26"/>
      <c r="G61" s="26"/>
      <c r="H61" s="27"/>
      <c r="I61" s="26"/>
      <c r="L61" s="63"/>
    </row>
    <row r="62" spans="2:12" ht="15" thickBot="1" x14ac:dyDescent="0.4">
      <c r="B62" s="16" t="s">
        <v>42</v>
      </c>
      <c r="C62" s="14"/>
      <c r="D62" s="40">
        <f t="shared" ref="D62:I62" si="7">SUM(D26+D40+D58+SUM(D50))</f>
        <v>640.19999999999925</v>
      </c>
      <c r="E62" s="40">
        <f t="shared" si="7"/>
        <v>2541</v>
      </c>
      <c r="F62" s="40">
        <f t="shared" si="7"/>
        <v>932</v>
      </c>
      <c r="G62" s="40">
        <f t="shared" si="7"/>
        <v>542</v>
      </c>
      <c r="H62" s="40">
        <f t="shared" si="7"/>
        <v>1648</v>
      </c>
      <c r="I62" s="40">
        <f t="shared" si="7"/>
        <v>2021</v>
      </c>
      <c r="L62" s="63"/>
    </row>
    <row r="63" spans="2:12" ht="6" customHeight="1" x14ac:dyDescent="0.35">
      <c r="B63" s="3"/>
      <c r="C63" s="14"/>
      <c r="D63" s="34"/>
      <c r="E63" s="34"/>
      <c r="F63" s="34"/>
      <c r="G63" s="34"/>
      <c r="H63" s="35"/>
      <c r="I63" s="34"/>
      <c r="L63" s="63"/>
    </row>
    <row r="64" spans="2:12" outlineLevel="1" x14ac:dyDescent="0.35">
      <c r="B64" s="1" t="s">
        <v>43</v>
      </c>
      <c r="C64" s="14"/>
      <c r="D64" s="34"/>
      <c r="E64" s="34"/>
      <c r="F64" s="34"/>
      <c r="G64" s="34"/>
      <c r="H64" s="35"/>
      <c r="I64" s="34"/>
      <c r="L64" s="63"/>
    </row>
    <row r="65" spans="2:12" outlineLevel="1" collapsed="1" x14ac:dyDescent="0.35">
      <c r="B65" s="3" t="s">
        <v>44</v>
      </c>
      <c r="C65" s="14"/>
      <c r="D65" s="32">
        <v>48.8</v>
      </c>
      <c r="E65" s="32">
        <v>279</v>
      </c>
      <c r="F65" s="32">
        <v>104</v>
      </c>
      <c r="G65" s="32">
        <v>15</v>
      </c>
      <c r="H65" s="32">
        <v>173</v>
      </c>
      <c r="I65" s="32">
        <v>432</v>
      </c>
      <c r="L65" s="63"/>
    </row>
    <row r="66" spans="2:12" ht="15" outlineLevel="1" thickBot="1" x14ac:dyDescent="0.4">
      <c r="B66" s="3" t="s">
        <v>45</v>
      </c>
      <c r="C66" s="14"/>
      <c r="D66" s="32">
        <v>-374.6</v>
      </c>
      <c r="E66" s="32">
        <v>-358</v>
      </c>
      <c r="F66" s="32">
        <v>-420</v>
      </c>
      <c r="G66" s="32">
        <v>-165</v>
      </c>
      <c r="H66" s="32">
        <v>-602</v>
      </c>
      <c r="I66" s="32">
        <v>-818</v>
      </c>
      <c r="L66" s="63"/>
    </row>
    <row r="67" spans="2:12" ht="15" thickBot="1" x14ac:dyDescent="0.4">
      <c r="B67" s="16" t="s">
        <v>46</v>
      </c>
      <c r="C67" s="14"/>
      <c r="D67" s="40">
        <f t="shared" ref="D67:I67" si="8">SUM(D65:D66)</f>
        <v>-325.8</v>
      </c>
      <c r="E67" s="40">
        <f t="shared" si="8"/>
        <v>-79</v>
      </c>
      <c r="F67" s="40">
        <f t="shared" si="8"/>
        <v>-316</v>
      </c>
      <c r="G67" s="40">
        <f t="shared" si="8"/>
        <v>-150</v>
      </c>
      <c r="H67" s="40">
        <f t="shared" si="8"/>
        <v>-429</v>
      </c>
      <c r="I67" s="40">
        <f t="shared" si="8"/>
        <v>-386</v>
      </c>
      <c r="L67" s="63"/>
    </row>
    <row r="68" spans="2:12" ht="9" customHeight="1" x14ac:dyDescent="0.35">
      <c r="B68" s="3"/>
      <c r="C68" s="14"/>
      <c r="D68" s="34"/>
      <c r="E68" s="34"/>
      <c r="F68" s="32"/>
      <c r="G68" s="32"/>
      <c r="H68" s="32"/>
      <c r="I68" s="32"/>
      <c r="L68" s="63"/>
    </row>
    <row r="69" spans="2:12" x14ac:dyDescent="0.35">
      <c r="B69" s="1" t="s">
        <v>47</v>
      </c>
      <c r="C69" s="14"/>
      <c r="D69" s="43">
        <f>SUM(D62,D67)+0.11</f>
        <v>314.50999999999925</v>
      </c>
      <c r="E69" s="43">
        <f>SUM(E62,E67)</f>
        <v>2462</v>
      </c>
      <c r="F69" s="43">
        <f>SUM(F62,F67)</f>
        <v>616</v>
      </c>
      <c r="G69" s="43">
        <f>SUM(G62,G67)</f>
        <v>392</v>
      </c>
      <c r="H69" s="43">
        <f>SUM(H62,H67)</f>
        <v>1219</v>
      </c>
      <c r="I69" s="43">
        <f>SUM(I62,I67)</f>
        <v>1635</v>
      </c>
      <c r="L69" s="63"/>
    </row>
    <row r="70" spans="2:12" ht="15" thickBot="1" x14ac:dyDescent="0.4">
      <c r="B70" s="3" t="s">
        <v>48</v>
      </c>
      <c r="C70" s="14"/>
      <c r="D70" s="109">
        <v>-213.4</v>
      </c>
      <c r="E70" s="109">
        <v>-2454</v>
      </c>
      <c r="F70" s="109">
        <v>-571</v>
      </c>
      <c r="G70" s="109">
        <v>-335</v>
      </c>
      <c r="H70" s="109">
        <v>-1312</v>
      </c>
      <c r="I70" s="109">
        <v>-1809</v>
      </c>
      <c r="L70" s="63"/>
    </row>
    <row r="71" spans="2:12" ht="15" thickBot="1" x14ac:dyDescent="0.4">
      <c r="B71" s="5" t="s">
        <v>49</v>
      </c>
      <c r="C71" s="14"/>
      <c r="D71" s="85">
        <f t="shared" ref="D71:I71" si="9">SUM(D69:D70)</f>
        <v>101.10999999999925</v>
      </c>
      <c r="E71" s="85">
        <f t="shared" si="9"/>
        <v>8</v>
      </c>
      <c r="F71" s="85">
        <f t="shared" si="9"/>
        <v>45</v>
      </c>
      <c r="G71" s="85">
        <f t="shared" si="9"/>
        <v>57</v>
      </c>
      <c r="H71" s="85">
        <f t="shared" si="9"/>
        <v>-93</v>
      </c>
      <c r="I71" s="85">
        <f t="shared" si="9"/>
        <v>-174</v>
      </c>
      <c r="L71" s="63"/>
    </row>
    <row r="72" spans="2:12" ht="9.75" customHeight="1" thickBot="1" x14ac:dyDescent="0.4">
      <c r="B72" s="1"/>
      <c r="C72" s="14"/>
      <c r="D72" s="34"/>
      <c r="E72" s="34"/>
      <c r="F72" s="34"/>
      <c r="G72" s="34"/>
      <c r="H72" s="35"/>
      <c r="I72" s="34"/>
      <c r="L72" s="63"/>
    </row>
    <row r="73" spans="2:12" ht="15" thickBot="1" x14ac:dyDescent="0.4">
      <c r="B73" s="5" t="s">
        <v>268</v>
      </c>
      <c r="C73" s="14"/>
      <c r="D73" s="110"/>
      <c r="E73" s="110"/>
      <c r="F73" s="110"/>
      <c r="G73" s="85">
        <v>86</v>
      </c>
      <c r="H73" s="110"/>
      <c r="I73" s="85">
        <v>410</v>
      </c>
      <c r="L73" s="63"/>
    </row>
    <row r="74" spans="2:12" ht="6.5" customHeight="1" thickBot="1" x14ac:dyDescent="0.4">
      <c r="B74" s="1"/>
      <c r="C74" s="14"/>
      <c r="D74" s="34"/>
      <c r="E74" s="34"/>
      <c r="F74" s="34"/>
      <c r="G74" s="34"/>
      <c r="H74" s="35"/>
      <c r="I74" s="34"/>
      <c r="L74" s="63"/>
    </row>
    <row r="75" spans="2:12" ht="15" thickBot="1" x14ac:dyDescent="0.4">
      <c r="B75" s="5" t="s">
        <v>50</v>
      </c>
      <c r="C75" s="14"/>
      <c r="D75" s="39">
        <f>D62-SUM(D34:D36,D43:D49,D53:D55)</f>
        <v>2431.6999999999989</v>
      </c>
      <c r="E75" s="39">
        <f>E62-SUM(E34:E36,E43:E49,E53:E55)+1</f>
        <v>4011</v>
      </c>
      <c r="F75" s="39">
        <f>F62-SUM(F34:F36,F43:F49,F53:F55)</f>
        <v>2675</v>
      </c>
      <c r="G75" s="39">
        <f>G62-SUM(G34:G36,G43:G49,G53:G55)</f>
        <v>1216</v>
      </c>
      <c r="H75" s="39">
        <f>H62-SUM(H34:H36,H43:H49,H53:H55)</f>
        <v>4006</v>
      </c>
      <c r="I75" s="39">
        <f>I62-SUM(I33:I36,I43:I49,I53:I55)</f>
        <v>3876</v>
      </c>
      <c r="L75" s="63"/>
    </row>
    <row r="76" spans="2:12" ht="8.25" customHeight="1" thickBot="1" x14ac:dyDescent="0.4">
      <c r="B76" s="1"/>
      <c r="C76" s="14"/>
      <c r="D76" s="34"/>
      <c r="E76" s="34"/>
      <c r="F76" s="34"/>
      <c r="G76" s="34"/>
      <c r="H76" s="35"/>
      <c r="I76" s="34"/>
      <c r="L76" s="63"/>
    </row>
    <row r="77" spans="2:12" ht="14.5" customHeight="1" thickBot="1" x14ac:dyDescent="0.4">
      <c r="B77" s="5" t="s">
        <v>269</v>
      </c>
      <c r="C77" s="14"/>
      <c r="D77" s="108"/>
      <c r="E77" s="108"/>
      <c r="F77" s="108"/>
      <c r="G77" s="39">
        <v>1250</v>
      </c>
      <c r="H77" s="108"/>
      <c r="I77" s="39">
        <v>3888</v>
      </c>
      <c r="L77" s="63"/>
    </row>
    <row r="78" spans="2:12" ht="8.25" customHeight="1" thickBot="1" x14ac:dyDescent="0.4">
      <c r="B78" s="1"/>
      <c r="C78" s="14"/>
      <c r="D78" s="34"/>
      <c r="E78" s="34"/>
      <c r="F78" s="34"/>
      <c r="G78" s="34"/>
      <c r="H78" s="35"/>
      <c r="I78" s="34"/>
      <c r="L78" s="63"/>
    </row>
    <row r="79" spans="2:12" ht="15" thickBot="1" x14ac:dyDescent="0.4">
      <c r="B79" s="5" t="s">
        <v>267</v>
      </c>
      <c r="C79" s="14"/>
      <c r="D79" s="85">
        <v>11.6</v>
      </c>
      <c r="E79" s="85">
        <v>1</v>
      </c>
      <c r="F79" s="85">
        <v>6</v>
      </c>
      <c r="G79" s="85">
        <v>7</v>
      </c>
      <c r="H79" s="85">
        <v>-10</v>
      </c>
      <c r="I79" s="85">
        <v>-12</v>
      </c>
      <c r="L79" s="63"/>
    </row>
    <row r="80" spans="2:12" ht="8.25" customHeight="1" thickBot="1" x14ac:dyDescent="0.4">
      <c r="B80" s="1"/>
      <c r="C80" s="14"/>
      <c r="D80" s="34"/>
      <c r="E80" s="34"/>
      <c r="F80" s="34"/>
      <c r="G80" s="34"/>
      <c r="H80" s="35"/>
      <c r="I80" s="34"/>
      <c r="L80" s="63"/>
    </row>
    <row r="81" spans="2:12" ht="15" thickBot="1" x14ac:dyDescent="0.4">
      <c r="B81" s="5" t="s">
        <v>270</v>
      </c>
      <c r="C81" s="14"/>
      <c r="D81" s="110"/>
      <c r="E81" s="110"/>
      <c r="F81" s="110"/>
      <c r="G81" s="85">
        <v>11</v>
      </c>
      <c r="H81" s="110"/>
      <c r="I81" s="85">
        <v>22</v>
      </c>
      <c r="L81" s="63"/>
    </row>
    <row r="82" spans="2:12" x14ac:dyDescent="0.35">
      <c r="B82" s="14"/>
      <c r="C82" s="14"/>
      <c r="D82" s="26"/>
      <c r="E82" s="26"/>
      <c r="F82" s="26"/>
      <c r="G82" s="26"/>
      <c r="H82" s="27"/>
      <c r="I82" s="26"/>
      <c r="L82" s="63"/>
    </row>
    <row r="83" spans="2:12" x14ac:dyDescent="0.35">
      <c r="B83" s="9" t="s">
        <v>179</v>
      </c>
      <c r="C83" s="14"/>
      <c r="D83" s="66">
        <v>2021</v>
      </c>
      <c r="E83" s="66">
        <v>2022</v>
      </c>
      <c r="F83" s="66">
        <v>2023</v>
      </c>
      <c r="G83" s="66" t="s">
        <v>176</v>
      </c>
      <c r="H83" s="66">
        <v>2024</v>
      </c>
      <c r="I83" s="66" t="s">
        <v>181</v>
      </c>
      <c r="L83" s="63"/>
    </row>
    <row r="84" spans="2:12" collapsed="1" x14ac:dyDescent="0.35">
      <c r="B84" s="4"/>
      <c r="C84" s="14"/>
      <c r="D84" s="26"/>
      <c r="E84" s="26"/>
      <c r="F84" s="26"/>
      <c r="G84" s="26"/>
      <c r="H84" s="26"/>
      <c r="I84" s="26"/>
      <c r="L84" s="63"/>
    </row>
    <row r="85" spans="2:12" x14ac:dyDescent="0.35">
      <c r="B85" s="10" t="s">
        <v>51</v>
      </c>
      <c r="C85" s="14"/>
      <c r="D85" s="25"/>
      <c r="E85" s="25"/>
      <c r="F85" s="25"/>
      <c r="G85" s="25"/>
      <c r="H85" s="25"/>
      <c r="I85" s="25"/>
      <c r="L85" s="63"/>
    </row>
    <row r="86" spans="2:12" ht="7.5" customHeight="1" x14ac:dyDescent="0.35">
      <c r="B86" s="12"/>
      <c r="C86" s="14"/>
      <c r="D86" s="26"/>
      <c r="E86" s="26"/>
      <c r="F86" s="26"/>
      <c r="G86" s="26"/>
      <c r="H86" s="26"/>
      <c r="I86" s="26"/>
      <c r="L86" s="63"/>
    </row>
    <row r="87" spans="2:12" ht="15.5" outlineLevel="1" x14ac:dyDescent="0.35">
      <c r="B87" s="1" t="s">
        <v>52</v>
      </c>
      <c r="C87" s="47"/>
      <c r="D87" s="48"/>
      <c r="E87" s="49"/>
      <c r="F87" s="48"/>
      <c r="G87" s="48"/>
      <c r="H87" s="48"/>
      <c r="I87" s="48"/>
      <c r="L87" s="63"/>
    </row>
    <row r="88" spans="2:12" ht="15.5" outlineLevel="1" x14ac:dyDescent="0.35">
      <c r="B88" s="50" t="s">
        <v>53</v>
      </c>
      <c r="C88" s="51"/>
      <c r="D88" s="52">
        <v>1327.1</v>
      </c>
      <c r="E88" s="52">
        <v>1327</v>
      </c>
      <c r="F88" s="52">
        <v>1302</v>
      </c>
      <c r="G88" s="52">
        <v>1302</v>
      </c>
      <c r="H88" s="52">
        <v>5147</v>
      </c>
      <c r="I88" s="52">
        <v>5142</v>
      </c>
      <c r="L88" s="63"/>
    </row>
    <row r="89" spans="2:12" ht="15.5" outlineLevel="1" x14ac:dyDescent="0.35">
      <c r="B89" s="50" t="s">
        <v>219</v>
      </c>
      <c r="C89" s="51"/>
      <c r="D89" s="52"/>
      <c r="E89" s="52"/>
      <c r="F89" s="52"/>
      <c r="G89" s="52"/>
      <c r="H89" s="52"/>
      <c r="I89" s="52">
        <v>4</v>
      </c>
      <c r="L89" s="63"/>
    </row>
    <row r="90" spans="2:12" ht="15.5" outlineLevel="1" x14ac:dyDescent="0.35">
      <c r="B90" s="50" t="s">
        <v>54</v>
      </c>
      <c r="C90" s="51"/>
      <c r="D90" s="52">
        <v>873.7</v>
      </c>
      <c r="E90" s="52">
        <v>880</v>
      </c>
      <c r="F90" s="52">
        <v>1172</v>
      </c>
      <c r="G90" s="52">
        <v>1242</v>
      </c>
      <c r="H90" s="52">
        <v>5714</v>
      </c>
      <c r="I90" s="52">
        <v>5869</v>
      </c>
      <c r="L90" s="63"/>
    </row>
    <row r="91" spans="2:12" ht="15.5" outlineLevel="1" x14ac:dyDescent="0.35">
      <c r="B91" s="50" t="s">
        <v>55</v>
      </c>
      <c r="C91" s="51"/>
      <c r="D91" s="52">
        <v>7246.7</v>
      </c>
      <c r="E91" s="52">
        <v>5690</v>
      </c>
      <c r="F91" s="52">
        <v>4836</v>
      </c>
      <c r="G91" s="52">
        <v>4681</v>
      </c>
      <c r="H91" s="52">
        <v>14543</v>
      </c>
      <c r="I91" s="52">
        <v>14314</v>
      </c>
      <c r="L91" s="63"/>
    </row>
    <row r="92" spans="2:12" ht="15.5" outlineLevel="1" x14ac:dyDescent="0.35">
      <c r="B92" s="50" t="s">
        <v>56</v>
      </c>
      <c r="C92" s="47"/>
      <c r="D92" s="52">
        <v>551.5</v>
      </c>
      <c r="E92" s="52">
        <v>735</v>
      </c>
      <c r="F92" s="52">
        <v>632</v>
      </c>
      <c r="G92" s="52">
        <v>648</v>
      </c>
      <c r="H92" s="52">
        <v>656</v>
      </c>
      <c r="I92" s="52">
        <v>550</v>
      </c>
      <c r="L92" s="63"/>
    </row>
    <row r="93" spans="2:12" ht="15.5" outlineLevel="1" x14ac:dyDescent="0.35">
      <c r="B93" s="50" t="s">
        <v>57</v>
      </c>
      <c r="C93" s="47"/>
      <c r="D93" s="52">
        <v>1938.4</v>
      </c>
      <c r="E93" s="52">
        <v>1406</v>
      </c>
      <c r="F93" s="52">
        <v>7</v>
      </c>
      <c r="G93" s="52">
        <v>8</v>
      </c>
      <c r="H93" s="52">
        <v>130</v>
      </c>
      <c r="I93" s="52">
        <v>561</v>
      </c>
      <c r="L93" s="63"/>
    </row>
    <row r="94" spans="2:12" ht="15" customHeight="1" outlineLevel="1" x14ac:dyDescent="0.35">
      <c r="B94" s="50" t="s">
        <v>58</v>
      </c>
      <c r="C94" s="47"/>
      <c r="D94" s="52">
        <v>263</v>
      </c>
      <c r="E94" s="52">
        <v>298</v>
      </c>
      <c r="F94" s="52">
        <v>309</v>
      </c>
      <c r="G94" s="52">
        <v>340</v>
      </c>
      <c r="H94" s="52">
        <v>176</v>
      </c>
      <c r="I94" s="52">
        <v>200</v>
      </c>
      <c r="L94" s="63"/>
    </row>
    <row r="95" spans="2:12" ht="15" customHeight="1" outlineLevel="1" thickBot="1" x14ac:dyDescent="0.4">
      <c r="B95" s="50" t="s">
        <v>59</v>
      </c>
      <c r="C95" s="47"/>
      <c r="D95" s="52">
        <v>10.1</v>
      </c>
      <c r="E95" s="52">
        <v>103</v>
      </c>
      <c r="F95" s="52">
        <v>112</v>
      </c>
      <c r="G95" s="52">
        <v>26</v>
      </c>
      <c r="H95" s="52">
        <v>44</v>
      </c>
      <c r="I95" s="52">
        <v>252</v>
      </c>
      <c r="L95" s="63"/>
    </row>
    <row r="96" spans="2:12" ht="15" customHeight="1" thickBot="1" x14ac:dyDescent="0.4">
      <c r="B96" s="6" t="s">
        <v>60</v>
      </c>
      <c r="C96" s="14"/>
      <c r="D96" s="44">
        <f t="shared" ref="D96:I96" si="10">SUM(D88:D95)</f>
        <v>12210.5</v>
      </c>
      <c r="E96" s="44">
        <f t="shared" si="10"/>
        <v>10439</v>
      </c>
      <c r="F96" s="44">
        <f t="shared" si="10"/>
        <v>8370</v>
      </c>
      <c r="G96" s="44">
        <f t="shared" si="10"/>
        <v>8247</v>
      </c>
      <c r="H96" s="44">
        <f t="shared" si="10"/>
        <v>26410</v>
      </c>
      <c r="I96" s="44">
        <f t="shared" si="10"/>
        <v>26892</v>
      </c>
      <c r="L96" s="63"/>
    </row>
    <row r="97" spans="2:12" ht="4.5" customHeight="1" x14ac:dyDescent="0.35">
      <c r="B97" s="8"/>
      <c r="C97" s="14"/>
      <c r="D97" s="45"/>
      <c r="E97" s="45"/>
      <c r="F97" s="45"/>
      <c r="G97" s="45"/>
      <c r="H97" s="45"/>
      <c r="I97" s="45"/>
      <c r="L97" s="63"/>
    </row>
    <row r="98" spans="2:12" ht="15" customHeight="1" outlineLevel="1" x14ac:dyDescent="0.35">
      <c r="B98" s="1" t="s">
        <v>61</v>
      </c>
      <c r="C98" s="47"/>
      <c r="D98" s="53"/>
      <c r="E98" s="54"/>
      <c r="F98" s="53"/>
      <c r="G98" s="53"/>
      <c r="H98" s="53"/>
      <c r="I98" s="53"/>
      <c r="L98" s="63"/>
    </row>
    <row r="99" spans="2:12" ht="15.5" outlineLevel="1" x14ac:dyDescent="0.35">
      <c r="B99" s="50" t="s">
        <v>62</v>
      </c>
      <c r="C99" s="47"/>
      <c r="D99" s="52">
        <v>211.4</v>
      </c>
      <c r="E99" s="52">
        <v>143</v>
      </c>
      <c r="F99" s="52">
        <v>217</v>
      </c>
      <c r="G99" s="52">
        <v>167</v>
      </c>
      <c r="H99" s="52">
        <v>368</v>
      </c>
      <c r="I99" s="52">
        <v>388</v>
      </c>
      <c r="L99" s="63"/>
    </row>
    <row r="100" spans="2:12" ht="15.5" outlineLevel="1" x14ac:dyDescent="0.35">
      <c r="B100" s="50" t="s">
        <v>63</v>
      </c>
      <c r="C100" s="47"/>
      <c r="D100" s="52">
        <v>1342.2</v>
      </c>
      <c r="E100" s="52">
        <v>1403</v>
      </c>
      <c r="F100" s="52">
        <v>873</v>
      </c>
      <c r="G100" s="52">
        <v>852</v>
      </c>
      <c r="H100" s="52">
        <v>2316</v>
      </c>
      <c r="I100" s="52">
        <v>2260</v>
      </c>
      <c r="L100" s="63"/>
    </row>
    <row r="101" spans="2:12" ht="15.5" outlineLevel="1" x14ac:dyDescent="0.35">
      <c r="B101" s="50" t="s">
        <v>59</v>
      </c>
      <c r="C101" s="47"/>
      <c r="D101" s="52">
        <v>41.8</v>
      </c>
      <c r="E101" s="52">
        <v>81</v>
      </c>
      <c r="F101" s="52">
        <v>170</v>
      </c>
      <c r="G101" s="52">
        <v>90</v>
      </c>
      <c r="H101" s="52">
        <v>145</v>
      </c>
      <c r="I101" s="52">
        <v>530</v>
      </c>
      <c r="L101" s="63"/>
    </row>
    <row r="102" spans="2:12" ht="15.5" outlineLevel="1" x14ac:dyDescent="0.35">
      <c r="B102" s="50" t="s">
        <v>64</v>
      </c>
      <c r="C102" s="47"/>
      <c r="D102" s="52">
        <v>698.7</v>
      </c>
      <c r="E102" s="52">
        <v>500</v>
      </c>
      <c r="F102" s="52">
        <v>286</v>
      </c>
      <c r="G102" s="52">
        <v>539</v>
      </c>
      <c r="H102" s="52">
        <v>805</v>
      </c>
      <c r="I102" s="52">
        <v>2711</v>
      </c>
      <c r="L102" s="63"/>
    </row>
    <row r="103" spans="2:12" ht="16" outlineLevel="1" thickBot="1" x14ac:dyDescent="0.4">
      <c r="B103" s="50" t="s">
        <v>65</v>
      </c>
      <c r="C103" s="47"/>
      <c r="D103" s="52">
        <v>0</v>
      </c>
      <c r="E103" s="52">
        <v>0</v>
      </c>
      <c r="F103" s="52" t="s">
        <v>66</v>
      </c>
      <c r="G103" s="52">
        <v>0</v>
      </c>
      <c r="H103" s="52">
        <v>277</v>
      </c>
      <c r="I103" s="52">
        <v>224</v>
      </c>
      <c r="L103" s="63"/>
    </row>
    <row r="104" spans="2:12" ht="15" thickBot="1" x14ac:dyDescent="0.4">
      <c r="B104" s="6" t="s">
        <v>67</v>
      </c>
      <c r="C104" s="14"/>
      <c r="D104" s="44">
        <f t="shared" ref="D104:I104" si="11">SUM(D99:D103)</f>
        <v>2294.1000000000004</v>
      </c>
      <c r="E104" s="44">
        <f t="shared" si="11"/>
        <v>2127</v>
      </c>
      <c r="F104" s="44">
        <f t="shared" si="11"/>
        <v>1546</v>
      </c>
      <c r="G104" s="44">
        <f t="shared" si="11"/>
        <v>1648</v>
      </c>
      <c r="H104" s="44">
        <f t="shared" si="11"/>
        <v>3911</v>
      </c>
      <c r="I104" s="44">
        <f t="shared" si="11"/>
        <v>6113</v>
      </c>
      <c r="L104" s="63"/>
    </row>
    <row r="105" spans="2:12" ht="7.5" customHeight="1" thickBot="1" x14ac:dyDescent="0.4">
      <c r="B105" s="22"/>
      <c r="C105" s="23"/>
      <c r="D105" s="46"/>
      <c r="E105" s="46"/>
      <c r="F105" s="46"/>
      <c r="G105" s="46"/>
      <c r="H105" s="46"/>
      <c r="I105" s="46"/>
      <c r="L105" s="63"/>
    </row>
    <row r="106" spans="2:12" ht="15" thickBot="1" x14ac:dyDescent="0.4">
      <c r="B106" s="6" t="s">
        <v>68</v>
      </c>
      <c r="C106" s="14"/>
      <c r="D106" s="44">
        <f t="shared" ref="D106:I106" si="12">SUM(D96,D104)</f>
        <v>14504.6</v>
      </c>
      <c r="E106" s="44">
        <f t="shared" si="12"/>
        <v>12566</v>
      </c>
      <c r="F106" s="44">
        <f t="shared" si="12"/>
        <v>9916</v>
      </c>
      <c r="G106" s="44">
        <f t="shared" si="12"/>
        <v>9895</v>
      </c>
      <c r="H106" s="44">
        <f t="shared" si="12"/>
        <v>30321</v>
      </c>
      <c r="I106" s="44">
        <f t="shared" si="12"/>
        <v>33005</v>
      </c>
      <c r="L106" s="63"/>
    </row>
    <row r="107" spans="2:12" ht="17.5" x14ac:dyDescent="0.35">
      <c r="B107" s="21"/>
      <c r="C107" s="20"/>
      <c r="D107" s="29"/>
      <c r="E107" s="26"/>
      <c r="F107" s="29"/>
      <c r="G107" s="29"/>
      <c r="H107" s="29"/>
      <c r="I107" s="29"/>
      <c r="L107" s="63"/>
    </row>
    <row r="108" spans="2:12" ht="15" customHeight="1" collapsed="1" x14ac:dyDescent="0.35">
      <c r="B108" s="10" t="s">
        <v>69</v>
      </c>
      <c r="C108" s="14"/>
      <c r="D108" s="25"/>
      <c r="E108" s="25"/>
      <c r="F108" s="25"/>
      <c r="G108" s="25"/>
      <c r="H108" s="25"/>
      <c r="I108" s="25"/>
      <c r="L108" s="63"/>
    </row>
    <row r="109" spans="2:12" ht="5.25" customHeight="1" x14ac:dyDescent="0.35">
      <c r="B109" s="12"/>
      <c r="C109" s="14"/>
      <c r="D109" s="26"/>
      <c r="E109" s="26"/>
      <c r="F109" s="26"/>
      <c r="G109" s="26"/>
      <c r="H109" s="26"/>
      <c r="I109" s="26"/>
      <c r="L109" s="63"/>
    </row>
    <row r="110" spans="2:12" ht="15.5" outlineLevel="1" x14ac:dyDescent="0.35">
      <c r="B110" s="1" t="s">
        <v>70</v>
      </c>
      <c r="C110" s="51"/>
      <c r="D110" s="32"/>
      <c r="E110" s="32"/>
      <c r="F110" s="32"/>
      <c r="G110" s="32"/>
      <c r="H110" s="32"/>
      <c r="I110" s="32"/>
      <c r="L110" s="63"/>
    </row>
    <row r="111" spans="2:12" ht="15.5" outlineLevel="1" x14ac:dyDescent="0.35">
      <c r="B111" s="50" t="s">
        <v>71</v>
      </c>
      <c r="C111" s="51"/>
      <c r="D111" s="32">
        <v>171.1</v>
      </c>
      <c r="E111" s="32">
        <v>171</v>
      </c>
      <c r="F111" s="32">
        <v>171</v>
      </c>
      <c r="G111" s="32">
        <v>171</v>
      </c>
      <c r="H111" s="32">
        <v>171</v>
      </c>
      <c r="I111" s="32">
        <v>171</v>
      </c>
      <c r="L111" s="63"/>
    </row>
    <row r="112" spans="2:12" ht="15.5" outlineLevel="1" x14ac:dyDescent="0.35">
      <c r="B112" s="50" t="s">
        <v>72</v>
      </c>
      <c r="C112" s="51"/>
      <c r="D112" s="32">
        <v>1504.6</v>
      </c>
      <c r="E112" s="32">
        <v>0</v>
      </c>
      <c r="F112" s="32">
        <v>0</v>
      </c>
      <c r="G112" s="32">
        <v>0</v>
      </c>
      <c r="H112" s="32">
        <v>0</v>
      </c>
      <c r="I112" s="32">
        <v>0</v>
      </c>
      <c r="L112" s="63"/>
    </row>
    <row r="113" spans="2:12" ht="15.5" outlineLevel="1" x14ac:dyDescent="0.35">
      <c r="B113" s="50" t="s">
        <v>73</v>
      </c>
      <c r="C113" s="51"/>
      <c r="D113" s="32">
        <v>0</v>
      </c>
      <c r="E113" s="32">
        <v>0</v>
      </c>
      <c r="F113" s="32">
        <v>271</v>
      </c>
      <c r="G113" s="32">
        <v>0</v>
      </c>
      <c r="H113" s="32">
        <v>3728</v>
      </c>
      <c r="I113" s="32">
        <v>3728</v>
      </c>
      <c r="L113" s="63"/>
    </row>
    <row r="114" spans="2:12" ht="15.5" outlineLevel="1" x14ac:dyDescent="0.35">
      <c r="B114" s="50" t="s">
        <v>74</v>
      </c>
      <c r="C114" s="47"/>
      <c r="D114" s="32">
        <v>-1276.8</v>
      </c>
      <c r="E114" s="32">
        <v>-606</v>
      </c>
      <c r="F114" s="32">
        <v>18</v>
      </c>
      <c r="G114" s="32">
        <v>248</v>
      </c>
      <c r="H114" s="32">
        <v>-18</v>
      </c>
      <c r="I114" s="32">
        <v>140</v>
      </c>
      <c r="L114" s="63"/>
    </row>
    <row r="115" spans="2:12" ht="15.5" outlineLevel="1" x14ac:dyDescent="0.35">
      <c r="B115" s="50" t="s">
        <v>75</v>
      </c>
      <c r="C115" s="47"/>
      <c r="D115" s="32">
        <v>74.599999999999994</v>
      </c>
      <c r="E115" s="32">
        <v>1456</v>
      </c>
      <c r="F115" s="32">
        <v>1093</v>
      </c>
      <c r="G115" s="32">
        <v>1055</v>
      </c>
      <c r="H115" s="32">
        <v>807</v>
      </c>
      <c r="I115" s="32">
        <v>399</v>
      </c>
      <c r="L115" s="63"/>
    </row>
    <row r="116" spans="2:12" ht="15.5" outlineLevel="1" x14ac:dyDescent="0.35">
      <c r="B116" s="22" t="s">
        <v>76</v>
      </c>
      <c r="C116" s="57"/>
      <c r="D116" s="46">
        <f t="shared" ref="D116:I116" si="13">SUM(D111:D115)</f>
        <v>473.49999999999989</v>
      </c>
      <c r="E116" s="46">
        <f t="shared" si="13"/>
        <v>1021</v>
      </c>
      <c r="F116" s="46">
        <f t="shared" si="13"/>
        <v>1553</v>
      </c>
      <c r="G116" s="46">
        <f t="shared" si="13"/>
        <v>1474</v>
      </c>
      <c r="H116" s="46">
        <f t="shared" si="13"/>
        <v>4688</v>
      </c>
      <c r="I116" s="46">
        <f t="shared" si="13"/>
        <v>4438</v>
      </c>
      <c r="L116" s="63"/>
    </row>
    <row r="117" spans="2:12" ht="16" outlineLevel="1" thickBot="1" x14ac:dyDescent="0.4">
      <c r="B117" s="50" t="s">
        <v>77</v>
      </c>
      <c r="C117" s="51"/>
      <c r="D117" s="32">
        <v>0</v>
      </c>
      <c r="E117" s="32">
        <v>0</v>
      </c>
      <c r="F117" s="32">
        <v>0</v>
      </c>
      <c r="G117" s="32">
        <v>0</v>
      </c>
      <c r="H117" s="32">
        <v>1563</v>
      </c>
      <c r="I117" s="32">
        <v>1970</v>
      </c>
      <c r="L117" s="63"/>
    </row>
    <row r="118" spans="2:12" ht="15" thickBot="1" x14ac:dyDescent="0.4">
      <c r="B118" s="55" t="s">
        <v>78</v>
      </c>
      <c r="C118" s="14"/>
      <c r="D118" s="44">
        <f t="shared" ref="D118:I118" si="14">SUM(D116:D117)</f>
        <v>473.49999999999989</v>
      </c>
      <c r="E118" s="44">
        <f t="shared" si="14"/>
        <v>1021</v>
      </c>
      <c r="F118" s="44">
        <f t="shared" si="14"/>
        <v>1553</v>
      </c>
      <c r="G118" s="44">
        <f t="shared" si="14"/>
        <v>1474</v>
      </c>
      <c r="H118" s="44">
        <f t="shared" si="14"/>
        <v>6251</v>
      </c>
      <c r="I118" s="44">
        <f t="shared" si="14"/>
        <v>6408</v>
      </c>
      <c r="L118" s="63"/>
    </row>
    <row r="119" spans="2:12" ht="7" customHeight="1" x14ac:dyDescent="0.35">
      <c r="B119" s="56"/>
      <c r="C119" s="14"/>
      <c r="D119" s="45"/>
      <c r="E119" s="45"/>
      <c r="F119" s="45"/>
      <c r="G119" s="45"/>
      <c r="H119" s="45"/>
      <c r="I119" s="45"/>
      <c r="L119" s="63"/>
    </row>
    <row r="120" spans="2:12" ht="15.5" outlineLevel="1" x14ac:dyDescent="0.35">
      <c r="B120" s="1" t="s">
        <v>79</v>
      </c>
      <c r="C120" s="51"/>
      <c r="D120" s="32"/>
      <c r="E120" s="32"/>
      <c r="F120" s="32"/>
      <c r="G120" s="32"/>
      <c r="H120" s="32"/>
      <c r="I120" s="32"/>
      <c r="L120" s="63"/>
    </row>
    <row r="121" spans="2:12" ht="15.5" outlineLevel="1" x14ac:dyDescent="0.35">
      <c r="B121" s="50" t="s">
        <v>80</v>
      </c>
      <c r="C121" s="47"/>
      <c r="D121" s="32">
        <v>2823.7</v>
      </c>
      <c r="E121" s="32">
        <v>1216</v>
      </c>
      <c r="F121" s="32">
        <v>493</v>
      </c>
      <c r="G121" s="32">
        <v>494</v>
      </c>
      <c r="H121" s="32">
        <v>4215</v>
      </c>
      <c r="I121" s="32">
        <v>5138</v>
      </c>
      <c r="L121" s="63"/>
    </row>
    <row r="122" spans="2:12" ht="15.5" outlineLevel="1" x14ac:dyDescent="0.35">
      <c r="B122" s="50" t="s">
        <v>81</v>
      </c>
      <c r="C122" s="47"/>
      <c r="D122" s="32">
        <v>5022.6000000000004</v>
      </c>
      <c r="E122" s="32">
        <v>3934</v>
      </c>
      <c r="F122" s="32">
        <v>3905</v>
      </c>
      <c r="G122" s="32">
        <v>3927</v>
      </c>
      <c r="H122" s="32">
        <v>7024</v>
      </c>
      <c r="I122" s="32">
        <v>7338</v>
      </c>
      <c r="L122" s="63"/>
    </row>
    <row r="123" spans="2:12" ht="15" customHeight="1" outlineLevel="1" x14ac:dyDescent="0.35">
      <c r="B123" s="50" t="s">
        <v>82</v>
      </c>
      <c r="C123" s="51"/>
      <c r="D123" s="32">
        <v>187.1</v>
      </c>
      <c r="E123" s="32">
        <v>397</v>
      </c>
      <c r="F123" s="32">
        <v>1297</v>
      </c>
      <c r="G123" s="32">
        <v>1338</v>
      </c>
      <c r="H123" s="32">
        <v>6221</v>
      </c>
      <c r="I123" s="32">
        <v>7328</v>
      </c>
      <c r="L123" s="63"/>
    </row>
    <row r="124" spans="2:12" ht="15" customHeight="1" outlineLevel="1" x14ac:dyDescent="0.35">
      <c r="B124" s="50" t="s">
        <v>83</v>
      </c>
      <c r="C124" s="51"/>
      <c r="D124" s="32">
        <v>32.299999999999997</v>
      </c>
      <c r="E124" s="32">
        <v>19</v>
      </c>
      <c r="F124" s="32">
        <v>13</v>
      </c>
      <c r="G124" s="32">
        <v>12</v>
      </c>
      <c r="H124" s="32">
        <v>30</v>
      </c>
      <c r="I124" s="32">
        <v>85</v>
      </c>
      <c r="L124" s="63"/>
    </row>
    <row r="125" spans="2:12" ht="15.5" outlineLevel="1" x14ac:dyDescent="0.35">
      <c r="B125" s="50" t="s">
        <v>84</v>
      </c>
      <c r="C125" s="47"/>
      <c r="D125" s="32">
        <v>489.2</v>
      </c>
      <c r="E125" s="32">
        <v>604</v>
      </c>
      <c r="F125" s="32">
        <v>552</v>
      </c>
      <c r="G125" s="32">
        <v>568</v>
      </c>
      <c r="H125" s="32">
        <v>551</v>
      </c>
      <c r="I125" s="32">
        <v>494</v>
      </c>
      <c r="L125" s="63"/>
    </row>
    <row r="126" spans="2:12" ht="15" customHeight="1" outlineLevel="1" thickBot="1" x14ac:dyDescent="0.4">
      <c r="B126" s="50" t="s">
        <v>85</v>
      </c>
      <c r="C126" s="51"/>
      <c r="D126" s="32">
        <v>1373.6</v>
      </c>
      <c r="E126" s="32">
        <v>1279</v>
      </c>
      <c r="F126" s="32">
        <v>87</v>
      </c>
      <c r="G126" s="32">
        <v>46</v>
      </c>
      <c r="H126" s="32">
        <v>415</v>
      </c>
      <c r="I126" s="32">
        <v>88</v>
      </c>
      <c r="L126" s="63"/>
    </row>
    <row r="127" spans="2:12" ht="15" customHeight="1" thickBot="1" x14ac:dyDescent="0.4">
      <c r="B127" s="55" t="s">
        <v>86</v>
      </c>
      <c r="C127" s="14"/>
      <c r="D127" s="44">
        <f t="shared" ref="D127:I127" si="15">SUM(D121:D126)</f>
        <v>9928.5000000000018</v>
      </c>
      <c r="E127" s="44">
        <f t="shared" si="15"/>
        <v>7449</v>
      </c>
      <c r="F127" s="44">
        <f t="shared" si="15"/>
        <v>6347</v>
      </c>
      <c r="G127" s="44">
        <f t="shared" si="15"/>
        <v>6385</v>
      </c>
      <c r="H127" s="44">
        <f t="shared" si="15"/>
        <v>18456</v>
      </c>
      <c r="I127" s="44">
        <f t="shared" si="15"/>
        <v>20471</v>
      </c>
      <c r="L127" s="63"/>
    </row>
    <row r="128" spans="2:12" ht="15" customHeight="1" x14ac:dyDescent="0.35">
      <c r="B128" s="56"/>
      <c r="C128" s="14"/>
      <c r="D128" s="45"/>
      <c r="E128" s="45"/>
      <c r="F128" s="45"/>
      <c r="G128" s="45"/>
      <c r="H128" s="45"/>
      <c r="I128" s="45"/>
      <c r="L128" s="63"/>
    </row>
    <row r="129" spans="2:12" ht="15" customHeight="1" outlineLevel="1" x14ac:dyDescent="0.35">
      <c r="B129" s="1" t="s">
        <v>87</v>
      </c>
      <c r="C129" s="47"/>
      <c r="D129" s="32"/>
      <c r="E129" s="32"/>
      <c r="F129" s="32"/>
      <c r="G129" s="32"/>
      <c r="H129" s="32"/>
      <c r="I129" s="32"/>
      <c r="L129" s="63"/>
    </row>
    <row r="130" spans="2:12" ht="15" customHeight="1" outlineLevel="1" x14ac:dyDescent="0.35">
      <c r="B130" s="50" t="s">
        <v>83</v>
      </c>
      <c r="C130" s="47"/>
      <c r="D130" s="32">
        <v>1235.3</v>
      </c>
      <c r="E130" s="32">
        <v>1252</v>
      </c>
      <c r="F130" s="32">
        <v>915</v>
      </c>
      <c r="G130" s="32">
        <v>855</v>
      </c>
      <c r="H130" s="32">
        <v>1755</v>
      </c>
      <c r="I130" s="32">
        <v>1865</v>
      </c>
      <c r="L130" s="63"/>
    </row>
    <row r="131" spans="2:12" ht="15" customHeight="1" outlineLevel="1" x14ac:dyDescent="0.35">
      <c r="B131" s="50" t="s">
        <v>80</v>
      </c>
      <c r="C131" s="51"/>
      <c r="D131" s="32">
        <v>62.3</v>
      </c>
      <c r="E131" s="32">
        <v>22</v>
      </c>
      <c r="F131" s="32">
        <v>16</v>
      </c>
      <c r="G131" s="32">
        <v>7</v>
      </c>
      <c r="H131" s="32">
        <v>1014</v>
      </c>
      <c r="I131" s="32">
        <v>1171</v>
      </c>
      <c r="L131" s="63"/>
    </row>
    <row r="132" spans="2:12" ht="15" customHeight="1" outlineLevel="1" x14ac:dyDescent="0.35">
      <c r="B132" s="50" t="s">
        <v>84</v>
      </c>
      <c r="C132" s="51"/>
      <c r="D132" s="32">
        <v>165.1</v>
      </c>
      <c r="E132" s="32">
        <v>221</v>
      </c>
      <c r="F132" s="32">
        <v>216</v>
      </c>
      <c r="G132" s="32">
        <v>249</v>
      </c>
      <c r="H132" s="32">
        <v>241</v>
      </c>
      <c r="I132" s="32">
        <v>207</v>
      </c>
      <c r="L132" s="63"/>
    </row>
    <row r="133" spans="2:12" ht="15" customHeight="1" outlineLevel="1" x14ac:dyDescent="0.35">
      <c r="B133" s="50" t="s">
        <v>81</v>
      </c>
      <c r="C133" s="51"/>
      <c r="D133" s="32">
        <v>358.6</v>
      </c>
      <c r="E133" s="32">
        <v>231</v>
      </c>
      <c r="F133" s="32">
        <v>230</v>
      </c>
      <c r="G133" s="32">
        <v>200</v>
      </c>
      <c r="H133" s="32">
        <v>497</v>
      </c>
      <c r="I133" s="32">
        <v>522</v>
      </c>
      <c r="L133" s="63"/>
    </row>
    <row r="134" spans="2:12" ht="15" customHeight="1" outlineLevel="1" x14ac:dyDescent="0.35">
      <c r="B134" s="50" t="s">
        <v>88</v>
      </c>
      <c r="C134" s="47"/>
      <c r="D134" s="32">
        <v>116.8</v>
      </c>
      <c r="E134" s="32">
        <v>199</v>
      </c>
      <c r="F134" s="32">
        <v>442</v>
      </c>
      <c r="G134" s="32">
        <v>562</v>
      </c>
      <c r="H134" s="32">
        <v>1412</v>
      </c>
      <c r="I134" s="32">
        <v>2134</v>
      </c>
      <c r="L134" s="63"/>
    </row>
    <row r="135" spans="2:12" ht="15" customHeight="1" outlineLevel="1" collapsed="1" x14ac:dyDescent="0.35">
      <c r="B135" s="50" t="s">
        <v>85</v>
      </c>
      <c r="C135" s="47"/>
      <c r="D135" s="32">
        <v>2164.5</v>
      </c>
      <c r="E135" s="32">
        <v>2171</v>
      </c>
      <c r="F135" s="32">
        <v>197</v>
      </c>
      <c r="G135" s="32">
        <v>163</v>
      </c>
      <c r="H135" s="32">
        <v>462</v>
      </c>
      <c r="I135" s="32">
        <v>28</v>
      </c>
      <c r="L135" s="63"/>
    </row>
    <row r="136" spans="2:12" ht="15" customHeight="1" outlineLevel="1" thickBot="1" x14ac:dyDescent="0.4">
      <c r="B136" s="50" t="s">
        <v>89</v>
      </c>
      <c r="C136" s="51"/>
      <c r="D136" s="32">
        <v>0</v>
      </c>
      <c r="E136" s="32">
        <v>0</v>
      </c>
      <c r="F136" s="32" t="s">
        <v>66</v>
      </c>
      <c r="G136" s="32">
        <v>0</v>
      </c>
      <c r="H136" s="32">
        <v>233</v>
      </c>
      <c r="I136" s="32">
        <v>199</v>
      </c>
      <c r="L136" s="63"/>
    </row>
    <row r="137" spans="2:12" ht="15" customHeight="1" thickBot="1" x14ac:dyDescent="0.4">
      <c r="B137" s="55" t="s">
        <v>90</v>
      </c>
      <c r="C137" s="14"/>
      <c r="D137" s="44">
        <f t="shared" ref="D137:I137" si="16">SUM(D130:D136)</f>
        <v>4102.5999999999995</v>
      </c>
      <c r="E137" s="44">
        <f t="shared" si="16"/>
        <v>4096</v>
      </c>
      <c r="F137" s="44">
        <f t="shared" si="16"/>
        <v>2016</v>
      </c>
      <c r="G137" s="44">
        <f t="shared" si="16"/>
        <v>2036</v>
      </c>
      <c r="H137" s="44">
        <f t="shared" si="16"/>
        <v>5614</v>
      </c>
      <c r="I137" s="44">
        <f t="shared" si="16"/>
        <v>6126</v>
      </c>
      <c r="L137" s="63"/>
    </row>
    <row r="138" spans="2:12" ht="15" customHeight="1" thickBot="1" x14ac:dyDescent="0.4">
      <c r="B138" s="55"/>
      <c r="C138" s="14"/>
      <c r="D138" s="44"/>
      <c r="E138" s="44"/>
      <c r="F138" s="44"/>
      <c r="G138" s="44"/>
      <c r="H138" s="44"/>
      <c r="I138" s="44"/>
      <c r="L138" s="63"/>
    </row>
    <row r="139" spans="2:12" ht="15" customHeight="1" thickBot="1" x14ac:dyDescent="0.4">
      <c r="B139" s="55" t="s">
        <v>91</v>
      </c>
      <c r="C139" s="14"/>
      <c r="D139" s="44">
        <f t="shared" ref="D139:I139" si="17">SUM(D137,D127)</f>
        <v>14031.100000000002</v>
      </c>
      <c r="E139" s="44">
        <f t="shared" si="17"/>
        <v>11545</v>
      </c>
      <c r="F139" s="44">
        <f t="shared" si="17"/>
        <v>8363</v>
      </c>
      <c r="G139" s="44">
        <f t="shared" si="17"/>
        <v>8421</v>
      </c>
      <c r="H139" s="44">
        <f t="shared" si="17"/>
        <v>24070</v>
      </c>
      <c r="I139" s="44">
        <f t="shared" si="17"/>
        <v>26597</v>
      </c>
      <c r="L139" s="63"/>
    </row>
    <row r="140" spans="2:12" ht="15" customHeight="1" thickBot="1" x14ac:dyDescent="0.4">
      <c r="B140" s="56"/>
      <c r="C140" s="14"/>
      <c r="D140" s="45"/>
      <c r="E140" s="45"/>
      <c r="F140" s="45"/>
      <c r="G140" s="45"/>
      <c r="H140" s="45"/>
      <c r="I140" s="45"/>
      <c r="L140" s="63"/>
    </row>
    <row r="141" spans="2:12" ht="15" customHeight="1" thickBot="1" x14ac:dyDescent="0.4">
      <c r="B141" s="55" t="s">
        <v>92</v>
      </c>
      <c r="C141" s="14"/>
      <c r="D141" s="44">
        <f t="shared" ref="D141:I141" si="18">SUM(D118,D139)</f>
        <v>14504.600000000002</v>
      </c>
      <c r="E141" s="44">
        <f t="shared" si="18"/>
        <v>12566</v>
      </c>
      <c r="F141" s="44">
        <f t="shared" si="18"/>
        <v>9916</v>
      </c>
      <c r="G141" s="44">
        <f t="shared" si="18"/>
        <v>9895</v>
      </c>
      <c r="H141" s="44">
        <f t="shared" si="18"/>
        <v>30321</v>
      </c>
      <c r="I141" s="44">
        <f t="shared" si="18"/>
        <v>33005</v>
      </c>
      <c r="L141" s="63"/>
    </row>
    <row r="142" spans="2:12" ht="15" customHeight="1" x14ac:dyDescent="0.35">
      <c r="B142" s="19"/>
      <c r="C142" s="20"/>
      <c r="D142" s="29"/>
      <c r="E142" s="26"/>
      <c r="F142" s="29"/>
      <c r="G142" s="29"/>
      <c r="H142" s="29"/>
      <c r="I142" s="29"/>
      <c r="L142" s="63"/>
    </row>
    <row r="143" spans="2:12" ht="15" customHeight="1" x14ac:dyDescent="0.35">
      <c r="B143" s="9" t="s">
        <v>178</v>
      </c>
      <c r="C143" s="14"/>
      <c r="D143" s="66">
        <v>2021</v>
      </c>
      <c r="E143" s="66">
        <v>2022</v>
      </c>
      <c r="F143" s="66">
        <v>2023</v>
      </c>
      <c r="G143" s="66" t="s">
        <v>176</v>
      </c>
      <c r="H143" s="66">
        <v>2024</v>
      </c>
      <c r="I143" s="66" t="s">
        <v>181</v>
      </c>
      <c r="L143" s="63"/>
    </row>
    <row r="144" spans="2:12" ht="7.5" customHeight="1" x14ac:dyDescent="0.35">
      <c r="B144" s="14"/>
      <c r="C144" s="14"/>
      <c r="D144" s="26"/>
      <c r="E144" s="26"/>
      <c r="F144" s="26"/>
      <c r="G144" s="26"/>
      <c r="H144" s="26"/>
      <c r="I144" s="26"/>
      <c r="L144" s="63"/>
    </row>
    <row r="145" spans="2:12" ht="15" customHeight="1" x14ac:dyDescent="0.35">
      <c r="B145" s="18" t="s">
        <v>93</v>
      </c>
      <c r="C145" s="14"/>
      <c r="D145" s="58">
        <f t="shared" ref="D145:I145" si="19">D69</f>
        <v>314.50999999999925</v>
      </c>
      <c r="E145" s="58">
        <f t="shared" si="19"/>
        <v>2462</v>
      </c>
      <c r="F145" s="58">
        <f t="shared" si="19"/>
        <v>616</v>
      </c>
      <c r="G145" s="58">
        <f t="shared" si="19"/>
        <v>392</v>
      </c>
      <c r="H145" s="58">
        <f t="shared" si="19"/>
        <v>1219</v>
      </c>
      <c r="I145" s="58">
        <f t="shared" si="19"/>
        <v>1635</v>
      </c>
      <c r="L145" s="63"/>
    </row>
    <row r="146" spans="2:12" ht="15" customHeight="1" x14ac:dyDescent="0.35">
      <c r="B146" s="18"/>
      <c r="C146" s="14"/>
      <c r="D146" s="30"/>
      <c r="E146" s="30"/>
      <c r="F146" s="30"/>
      <c r="G146" s="30"/>
      <c r="H146" s="30"/>
      <c r="I146" s="30"/>
      <c r="L146" s="63"/>
    </row>
    <row r="147" spans="2:12" ht="15" customHeight="1" outlineLevel="1" x14ac:dyDescent="0.35">
      <c r="B147" s="10" t="s">
        <v>94</v>
      </c>
      <c r="C147" s="14"/>
      <c r="D147" s="25"/>
      <c r="E147" s="25"/>
      <c r="F147" s="25"/>
      <c r="G147" s="25"/>
      <c r="H147" s="28"/>
      <c r="I147" s="25"/>
      <c r="L147" s="63"/>
    </row>
    <row r="148" spans="2:12" ht="6" customHeight="1" outlineLevel="1" x14ac:dyDescent="0.35">
      <c r="B148" s="12"/>
      <c r="C148" s="14"/>
      <c r="D148" s="26"/>
      <c r="E148" s="26"/>
      <c r="F148" s="26"/>
      <c r="G148" s="26"/>
      <c r="H148" s="27"/>
      <c r="I148" s="26"/>
      <c r="L148" s="63"/>
    </row>
    <row r="149" spans="2:12" ht="15" customHeight="1" outlineLevel="1" x14ac:dyDescent="0.35">
      <c r="B149" s="50" t="s">
        <v>95</v>
      </c>
      <c r="C149" s="14"/>
      <c r="D149" s="32">
        <v>309.39999999999998</v>
      </c>
      <c r="E149" s="32">
        <v>358</v>
      </c>
      <c r="F149" s="32">
        <v>363</v>
      </c>
      <c r="G149" s="32">
        <v>160</v>
      </c>
      <c r="H149" s="32">
        <v>602</v>
      </c>
      <c r="I149" s="32">
        <v>314</v>
      </c>
      <c r="L149" s="63"/>
    </row>
    <row r="150" spans="2:12" ht="15" customHeight="1" outlineLevel="1" x14ac:dyDescent="0.35">
      <c r="B150" s="50" t="s">
        <v>96</v>
      </c>
      <c r="C150" s="14"/>
      <c r="D150" s="32">
        <v>-48.8</v>
      </c>
      <c r="E150" s="32">
        <v>-77</v>
      </c>
      <c r="F150" s="32">
        <v>-104</v>
      </c>
      <c r="G150" s="32">
        <v>-15</v>
      </c>
      <c r="H150" s="32">
        <v>-55</v>
      </c>
      <c r="I150" s="32">
        <v>-349</v>
      </c>
      <c r="L150" s="63"/>
    </row>
    <row r="151" spans="2:12" ht="15" customHeight="1" outlineLevel="1" x14ac:dyDescent="0.35">
      <c r="B151" s="50" t="s">
        <v>97</v>
      </c>
      <c r="C151" s="14"/>
      <c r="D151" s="32">
        <v>1371</v>
      </c>
      <c r="E151" s="32">
        <v>1546</v>
      </c>
      <c r="F151" s="32">
        <v>1449</v>
      </c>
      <c r="G151" s="32">
        <v>582</v>
      </c>
      <c r="H151" s="32">
        <v>1745</v>
      </c>
      <c r="I151" s="32">
        <v>1544</v>
      </c>
      <c r="L151" s="63"/>
    </row>
    <row r="152" spans="2:12" ht="15" customHeight="1" outlineLevel="1" x14ac:dyDescent="0.35">
      <c r="B152" s="50" t="s">
        <v>98</v>
      </c>
      <c r="C152" s="14"/>
      <c r="D152" s="32">
        <v>117.2</v>
      </c>
      <c r="E152" s="32">
        <v>-170</v>
      </c>
      <c r="F152" s="32">
        <v>176</v>
      </c>
      <c r="G152" s="32">
        <v>33</v>
      </c>
      <c r="H152" s="32">
        <v>352</v>
      </c>
      <c r="I152" s="32">
        <v>186</v>
      </c>
      <c r="L152" s="63"/>
    </row>
    <row r="153" spans="2:12" ht="15" customHeight="1" outlineLevel="1" x14ac:dyDescent="0.35">
      <c r="B153" s="50" t="s">
        <v>99</v>
      </c>
      <c r="C153" s="14"/>
      <c r="D153" s="32">
        <v>0</v>
      </c>
      <c r="E153" s="32">
        <v>2</v>
      </c>
      <c r="F153" s="32">
        <v>0</v>
      </c>
      <c r="G153" s="32">
        <v>0</v>
      </c>
      <c r="H153" s="32">
        <v>0</v>
      </c>
      <c r="I153" s="32">
        <v>0</v>
      </c>
      <c r="L153" s="63"/>
    </row>
    <row r="154" spans="2:12" ht="15" customHeight="1" outlineLevel="1" x14ac:dyDescent="0.35">
      <c r="B154" s="50" t="s">
        <v>28</v>
      </c>
      <c r="C154" s="14"/>
      <c r="D154" s="32">
        <v>0</v>
      </c>
      <c r="E154" s="32">
        <v>0</v>
      </c>
      <c r="F154" s="32">
        <v>25</v>
      </c>
      <c r="G154" s="32">
        <v>0</v>
      </c>
      <c r="H154" s="32">
        <v>0</v>
      </c>
      <c r="I154" s="32">
        <v>0</v>
      </c>
      <c r="L154" s="63"/>
    </row>
    <row r="155" spans="2:12" ht="15" customHeight="1" outlineLevel="1" x14ac:dyDescent="0.35">
      <c r="B155" s="50" t="s">
        <v>100</v>
      </c>
      <c r="C155" s="14"/>
      <c r="D155" s="32">
        <v>0</v>
      </c>
      <c r="E155" s="32">
        <v>0</v>
      </c>
      <c r="F155" s="32">
        <v>0</v>
      </c>
      <c r="G155" s="32">
        <v>20</v>
      </c>
      <c r="H155" s="32">
        <v>20</v>
      </c>
      <c r="I155" s="32">
        <v>0</v>
      </c>
      <c r="L155" s="63"/>
    </row>
    <row r="156" spans="2:12" outlineLevel="1" x14ac:dyDescent="0.35">
      <c r="B156" s="50" t="s">
        <v>101</v>
      </c>
      <c r="C156" s="14"/>
      <c r="D156" s="32">
        <v>8.4</v>
      </c>
      <c r="E156" s="32">
        <v>17</v>
      </c>
      <c r="F156" s="32">
        <v>20</v>
      </c>
      <c r="G156" s="32">
        <v>26</v>
      </c>
      <c r="H156" s="32">
        <v>51</v>
      </c>
      <c r="I156" s="32">
        <v>22</v>
      </c>
      <c r="L156" s="63"/>
    </row>
    <row r="157" spans="2:12" outlineLevel="1" x14ac:dyDescent="0.35">
      <c r="B157" s="50" t="s">
        <v>102</v>
      </c>
      <c r="C157" s="14"/>
      <c r="D157" s="32">
        <v>-244.8</v>
      </c>
      <c r="E157" s="32">
        <v>-217</v>
      </c>
      <c r="F157" s="32">
        <v>-268</v>
      </c>
      <c r="G157" s="32">
        <v>-129</v>
      </c>
      <c r="H157" s="32">
        <v>-284</v>
      </c>
      <c r="I157" s="32">
        <v>-165</v>
      </c>
      <c r="L157" s="63"/>
    </row>
    <row r="158" spans="2:12" outlineLevel="1" x14ac:dyDescent="0.35">
      <c r="B158" s="50" t="s">
        <v>103</v>
      </c>
      <c r="C158" s="14"/>
      <c r="D158" s="32">
        <v>-2.2999999999999998</v>
      </c>
      <c r="E158" s="32">
        <v>0</v>
      </c>
      <c r="F158" s="32">
        <v>0</v>
      </c>
      <c r="G158" s="32">
        <v>0</v>
      </c>
      <c r="H158" s="32"/>
      <c r="I158" s="32">
        <v>0</v>
      </c>
      <c r="L158" s="63"/>
    </row>
    <row r="159" spans="2:12" outlineLevel="1" x14ac:dyDescent="0.35">
      <c r="B159" s="50" t="s">
        <v>104</v>
      </c>
      <c r="C159" s="14"/>
      <c r="D159" s="32">
        <v>0</v>
      </c>
      <c r="E159" s="32">
        <v>0</v>
      </c>
      <c r="F159" s="32">
        <v>0</v>
      </c>
      <c r="G159" s="32">
        <v>0</v>
      </c>
      <c r="H159" s="32">
        <v>-68</v>
      </c>
      <c r="I159" s="32">
        <v>-83</v>
      </c>
      <c r="L159" s="63"/>
    </row>
    <row r="160" spans="2:12" outlineLevel="1" x14ac:dyDescent="0.35">
      <c r="B160" s="50" t="s">
        <v>105</v>
      </c>
      <c r="C160" s="14"/>
      <c r="D160" s="32">
        <v>0</v>
      </c>
      <c r="E160" s="32">
        <v>0</v>
      </c>
      <c r="F160" s="32">
        <v>0</v>
      </c>
      <c r="G160" s="32">
        <v>0</v>
      </c>
      <c r="H160" s="32">
        <v>-31</v>
      </c>
      <c r="I160" s="32">
        <v>-40</v>
      </c>
      <c r="L160" s="63"/>
    </row>
    <row r="161" spans="2:13" outlineLevel="1" x14ac:dyDescent="0.35">
      <c r="B161" s="50" t="s">
        <v>106</v>
      </c>
      <c r="C161" s="14"/>
      <c r="D161" s="32">
        <v>255</v>
      </c>
      <c r="E161" s="32">
        <v>64</v>
      </c>
      <c r="F161" s="32">
        <v>57</v>
      </c>
      <c r="G161" s="32">
        <v>17</v>
      </c>
      <c r="H161" s="32">
        <v>173</v>
      </c>
      <c r="I161" s="32">
        <v>34</v>
      </c>
      <c r="L161" s="63"/>
    </row>
    <row r="162" spans="2:13" outlineLevel="1" x14ac:dyDescent="0.35">
      <c r="B162" s="50" t="s">
        <v>107</v>
      </c>
      <c r="C162" s="14"/>
      <c r="D162" s="32">
        <v>4.7</v>
      </c>
      <c r="E162" s="32">
        <v>0</v>
      </c>
      <c r="F162" s="32">
        <v>0</v>
      </c>
      <c r="G162" s="32">
        <v>0</v>
      </c>
      <c r="H162" s="32">
        <v>0</v>
      </c>
      <c r="I162" s="32">
        <v>0</v>
      </c>
      <c r="L162" s="63"/>
    </row>
    <row r="163" spans="2:13" outlineLevel="1" x14ac:dyDescent="0.35">
      <c r="B163" s="50" t="s">
        <v>108</v>
      </c>
      <c r="C163" s="14"/>
      <c r="D163" s="32">
        <v>7</v>
      </c>
      <c r="E163" s="32">
        <v>0</v>
      </c>
      <c r="F163" s="32">
        <v>0</v>
      </c>
      <c r="G163" s="32">
        <v>0</v>
      </c>
      <c r="H163" s="32">
        <v>0</v>
      </c>
      <c r="I163" s="32">
        <v>0</v>
      </c>
      <c r="L163" s="63"/>
    </row>
    <row r="164" spans="2:13" outlineLevel="1" x14ac:dyDescent="0.35">
      <c r="B164" s="50" t="s">
        <v>109</v>
      </c>
      <c r="C164" s="14"/>
      <c r="D164" s="32">
        <v>-9.1999999999999993</v>
      </c>
      <c r="E164" s="32">
        <v>-2</v>
      </c>
      <c r="F164" s="32">
        <v>0</v>
      </c>
      <c r="G164" s="32">
        <v>0</v>
      </c>
      <c r="H164" s="32">
        <v>0</v>
      </c>
      <c r="I164" s="32">
        <v>0</v>
      </c>
      <c r="L164" s="63"/>
    </row>
    <row r="165" spans="2:13" outlineLevel="1" x14ac:dyDescent="0.35">
      <c r="B165" s="50" t="s">
        <v>110</v>
      </c>
      <c r="C165" s="14"/>
      <c r="D165" s="32">
        <v>0.1</v>
      </c>
      <c r="E165" s="32">
        <v>-12</v>
      </c>
      <c r="F165" s="32">
        <v>0</v>
      </c>
      <c r="G165" s="32">
        <v>0</v>
      </c>
      <c r="H165" s="32">
        <v>0</v>
      </c>
      <c r="I165" s="32">
        <v>0</v>
      </c>
      <c r="L165" s="63"/>
    </row>
    <row r="166" spans="2:13" outlineLevel="1" x14ac:dyDescent="0.35">
      <c r="B166" s="50" t="s">
        <v>111</v>
      </c>
      <c r="C166" s="14"/>
      <c r="D166" s="32">
        <v>361.6</v>
      </c>
      <c r="E166" s="32">
        <v>-104</v>
      </c>
      <c r="F166" s="32">
        <v>-207</v>
      </c>
      <c r="G166" s="32">
        <v>-51</v>
      </c>
      <c r="H166" s="32">
        <v>-31</v>
      </c>
      <c r="I166" s="32">
        <v>-3</v>
      </c>
      <c r="L166" s="63"/>
    </row>
    <row r="167" spans="2:13" outlineLevel="1" x14ac:dyDescent="0.35">
      <c r="B167" s="50" t="s">
        <v>112</v>
      </c>
      <c r="C167" s="14"/>
      <c r="D167" s="32">
        <v>57.3</v>
      </c>
      <c r="E167" s="32">
        <v>-238</v>
      </c>
      <c r="F167" s="32">
        <v>49</v>
      </c>
      <c r="G167" s="32">
        <v>-14</v>
      </c>
      <c r="H167" s="32">
        <v>-116</v>
      </c>
      <c r="I167" s="32">
        <v>504</v>
      </c>
      <c r="L167" s="63"/>
    </row>
    <row r="168" spans="2:13" outlineLevel="1" x14ac:dyDescent="0.35">
      <c r="B168" s="18" t="s">
        <v>113</v>
      </c>
      <c r="C168" s="14"/>
      <c r="D168" s="32"/>
      <c r="E168" s="32"/>
      <c r="F168" s="32"/>
      <c r="G168" s="32"/>
      <c r="H168" s="32"/>
      <c r="I168" s="32"/>
      <c r="L168" s="63"/>
    </row>
    <row r="169" spans="2:13" outlineLevel="1" x14ac:dyDescent="0.35">
      <c r="B169" s="50" t="s">
        <v>114</v>
      </c>
      <c r="C169" s="14"/>
      <c r="D169" s="32">
        <v>-13</v>
      </c>
      <c r="E169" s="32">
        <v>65</v>
      </c>
      <c r="F169" s="32">
        <v>-52</v>
      </c>
      <c r="G169" s="32">
        <v>47</v>
      </c>
      <c r="H169" s="32">
        <v>39</v>
      </c>
      <c r="I169" s="32">
        <v>14</v>
      </c>
      <c r="L169" s="63"/>
    </row>
    <row r="170" spans="2:13" outlineLevel="1" x14ac:dyDescent="0.35">
      <c r="B170" s="50" t="s">
        <v>115</v>
      </c>
      <c r="C170" s="14"/>
      <c r="D170" s="32">
        <v>-607.4</v>
      </c>
      <c r="E170" s="32">
        <v>-75</v>
      </c>
      <c r="F170" s="32">
        <v>525</v>
      </c>
      <c r="G170" s="32">
        <v>82</v>
      </c>
      <c r="H170" s="32">
        <v>-32</v>
      </c>
      <c r="I170" s="32">
        <v>47</v>
      </c>
      <c r="L170" s="63"/>
    </row>
    <row r="171" spans="2:13" outlineLevel="1" x14ac:dyDescent="0.35">
      <c r="B171" s="50" t="s">
        <v>116</v>
      </c>
      <c r="C171" s="14"/>
      <c r="D171" s="32">
        <v>13.5</v>
      </c>
      <c r="E171" s="32">
        <v>63</v>
      </c>
      <c r="F171" s="32">
        <v>-61</v>
      </c>
      <c r="G171" s="32">
        <v>-40</v>
      </c>
      <c r="H171" s="32">
        <v>-470</v>
      </c>
      <c r="I171" s="32">
        <v>136</v>
      </c>
      <c r="L171" s="63"/>
    </row>
    <row r="172" spans="2:13" ht="15" outlineLevel="1" thickBot="1" x14ac:dyDescent="0.4">
      <c r="B172" s="7" t="s">
        <v>117</v>
      </c>
      <c r="C172" s="14"/>
      <c r="D172" s="46">
        <v>-279.8</v>
      </c>
      <c r="E172" s="46">
        <v>-552</v>
      </c>
      <c r="F172" s="46">
        <v>-438</v>
      </c>
      <c r="G172" s="46">
        <v>-157</v>
      </c>
      <c r="H172" s="46">
        <v>-1499</v>
      </c>
      <c r="I172" s="46">
        <v>-1350</v>
      </c>
      <c r="L172" s="63"/>
    </row>
    <row r="173" spans="2:13" ht="16.5" thickBot="1" x14ac:dyDescent="0.4">
      <c r="B173" s="16" t="s">
        <v>118</v>
      </c>
      <c r="C173" s="14"/>
      <c r="D173" s="40">
        <f t="shared" ref="D173:I173" si="20">SUM(D145:D172)</f>
        <v>1614.4099999999992</v>
      </c>
      <c r="E173" s="40">
        <f t="shared" si="20"/>
        <v>3130</v>
      </c>
      <c r="F173" s="40">
        <f t="shared" si="20"/>
        <v>2150</v>
      </c>
      <c r="G173" s="40">
        <f t="shared" si="20"/>
        <v>953</v>
      </c>
      <c r="H173" s="40">
        <f t="shared" si="20"/>
        <v>1615</v>
      </c>
      <c r="I173" s="40">
        <f t="shared" si="20"/>
        <v>2446</v>
      </c>
      <c r="K173" s="65"/>
      <c r="L173" s="63"/>
      <c r="M173" s="63"/>
    </row>
    <row r="174" spans="2:13" x14ac:dyDescent="0.35">
      <c r="B174" s="14"/>
      <c r="C174" s="14"/>
      <c r="D174" s="26"/>
      <c r="E174" s="26"/>
      <c r="F174" s="26"/>
      <c r="G174" s="26"/>
      <c r="H174" s="26"/>
      <c r="I174" s="26"/>
      <c r="L174" s="63"/>
    </row>
    <row r="175" spans="2:13" x14ac:dyDescent="0.35">
      <c r="B175" s="10" t="s">
        <v>119</v>
      </c>
      <c r="C175" s="14"/>
      <c r="D175" s="25"/>
      <c r="E175" s="25"/>
      <c r="F175" s="25"/>
      <c r="G175" s="25"/>
      <c r="H175" s="28"/>
      <c r="I175" s="25"/>
      <c r="L175" s="63"/>
    </row>
    <row r="176" spans="2:13" ht="7.5" customHeight="1" x14ac:dyDescent="0.35">
      <c r="B176" s="12"/>
      <c r="C176" s="14"/>
      <c r="D176" s="26"/>
      <c r="E176" s="26"/>
      <c r="F176" s="26"/>
      <c r="G176" s="26"/>
      <c r="H176" s="27"/>
      <c r="I176" s="26"/>
      <c r="L176" s="63"/>
    </row>
    <row r="177" spans="2:13" outlineLevel="1" x14ac:dyDescent="0.35">
      <c r="B177" s="50" t="s">
        <v>120</v>
      </c>
      <c r="C177" s="14"/>
      <c r="D177" s="32">
        <v>-176.5</v>
      </c>
      <c r="E177" s="32">
        <v>-127</v>
      </c>
      <c r="F177" s="32">
        <v>-202</v>
      </c>
      <c r="G177" s="32">
        <v>-113</v>
      </c>
      <c r="H177" s="32">
        <v>-359</v>
      </c>
      <c r="I177" s="32">
        <v>-185</v>
      </c>
      <c r="L177" s="63"/>
    </row>
    <row r="178" spans="2:13" outlineLevel="1" x14ac:dyDescent="0.35">
      <c r="B178" s="50" t="s">
        <v>121</v>
      </c>
      <c r="C178" s="14"/>
      <c r="D178" s="32">
        <v>-437.4</v>
      </c>
      <c r="E178" s="32">
        <v>-477</v>
      </c>
      <c r="F178" s="32">
        <v>-496</v>
      </c>
      <c r="G178" s="32">
        <v>-199</v>
      </c>
      <c r="H178" s="32">
        <v>-884</v>
      </c>
      <c r="I178" s="32">
        <v>-724</v>
      </c>
      <c r="L178" s="63"/>
    </row>
    <row r="179" spans="2:13" outlineLevel="1" x14ac:dyDescent="0.35">
      <c r="B179" s="50" t="s">
        <v>122</v>
      </c>
      <c r="C179" s="14"/>
      <c r="D179" s="32">
        <v>-30</v>
      </c>
      <c r="E179" s="32">
        <v>-30</v>
      </c>
      <c r="F179" s="32">
        <v>-20</v>
      </c>
      <c r="G179" s="32">
        <v>-13</v>
      </c>
      <c r="H179" s="32">
        <v>-42</v>
      </c>
      <c r="I179" s="32">
        <v>-28</v>
      </c>
      <c r="L179" s="63"/>
    </row>
    <row r="180" spans="2:13" outlineLevel="1" x14ac:dyDescent="0.35">
      <c r="B180" s="50" t="s">
        <v>123</v>
      </c>
      <c r="C180" s="14"/>
      <c r="D180" s="32">
        <v>0</v>
      </c>
      <c r="E180" s="32">
        <v>0</v>
      </c>
      <c r="F180" s="32">
        <v>-81</v>
      </c>
      <c r="G180" s="32">
        <v>-24</v>
      </c>
      <c r="H180" s="32">
        <v>-37</v>
      </c>
      <c r="I180" s="32">
        <v>-23</v>
      </c>
      <c r="L180" s="63"/>
    </row>
    <row r="181" spans="2:13" outlineLevel="1" x14ac:dyDescent="0.35">
      <c r="B181" s="50" t="s">
        <v>124</v>
      </c>
      <c r="C181" s="14"/>
      <c r="D181" s="32">
        <v>97.4</v>
      </c>
      <c r="E181" s="32">
        <v>0</v>
      </c>
      <c r="F181" s="32">
        <v>0</v>
      </c>
      <c r="G181" s="32">
        <v>0</v>
      </c>
      <c r="H181" s="32">
        <v>0</v>
      </c>
      <c r="I181" s="32">
        <v>0</v>
      </c>
      <c r="L181" s="63"/>
    </row>
    <row r="182" spans="2:13" outlineLevel="1" x14ac:dyDescent="0.35">
      <c r="B182" s="50" t="s">
        <v>125</v>
      </c>
      <c r="C182" s="14"/>
      <c r="D182" s="32">
        <v>0</v>
      </c>
      <c r="E182" s="32">
        <v>0</v>
      </c>
      <c r="F182" s="32">
        <v>0</v>
      </c>
      <c r="G182" s="32">
        <v>0</v>
      </c>
      <c r="H182" s="32">
        <v>-1044</v>
      </c>
      <c r="I182" s="32">
        <v>16</v>
      </c>
      <c r="L182" s="63"/>
    </row>
    <row r="183" spans="2:13" outlineLevel="1" x14ac:dyDescent="0.35">
      <c r="B183" s="50" t="s">
        <v>126</v>
      </c>
      <c r="C183" s="14"/>
      <c r="D183" s="32">
        <v>-46</v>
      </c>
      <c r="E183" s="35">
        <v>-19</v>
      </c>
      <c r="F183" s="32">
        <v>0</v>
      </c>
      <c r="G183" s="32">
        <v>0</v>
      </c>
      <c r="H183" s="32">
        <v>0</v>
      </c>
      <c r="I183" s="32">
        <v>0</v>
      </c>
      <c r="L183" s="63"/>
    </row>
    <row r="184" spans="2:13" outlineLevel="1" x14ac:dyDescent="0.35">
      <c r="B184" s="50" t="s">
        <v>127</v>
      </c>
      <c r="C184" s="14"/>
      <c r="D184" s="32">
        <v>14.1</v>
      </c>
      <c r="E184" s="32">
        <v>20</v>
      </c>
      <c r="F184" s="32">
        <v>93</v>
      </c>
      <c r="G184" s="32">
        <v>15</v>
      </c>
      <c r="H184" s="32">
        <v>76</v>
      </c>
      <c r="I184" s="32">
        <v>71</v>
      </c>
      <c r="L184" s="63"/>
    </row>
    <row r="185" spans="2:13" outlineLevel="1" x14ac:dyDescent="0.35">
      <c r="B185" s="50" t="s">
        <v>165</v>
      </c>
      <c r="C185" s="14"/>
      <c r="D185" s="32">
        <v>0</v>
      </c>
      <c r="E185" s="32">
        <v>-6</v>
      </c>
      <c r="F185" s="32">
        <v>0</v>
      </c>
      <c r="G185" s="32">
        <v>0</v>
      </c>
      <c r="H185" s="32">
        <v>0</v>
      </c>
      <c r="I185" s="32">
        <v>0</v>
      </c>
      <c r="L185" s="63"/>
      <c r="M185" s="63"/>
    </row>
    <row r="186" spans="2:13" ht="15" outlineLevel="1" thickBot="1" x14ac:dyDescent="0.4">
      <c r="B186" s="50" t="s">
        <v>164</v>
      </c>
      <c r="C186" s="14"/>
      <c r="D186" s="32">
        <v>7.4</v>
      </c>
      <c r="E186" s="35">
        <v>10</v>
      </c>
      <c r="F186" s="32">
        <v>13</v>
      </c>
      <c r="G186" s="32">
        <v>5</v>
      </c>
      <c r="H186" s="32">
        <v>13</v>
      </c>
      <c r="I186" s="32">
        <v>5</v>
      </c>
      <c r="L186" s="63"/>
    </row>
    <row r="187" spans="2:13" ht="15" thickBot="1" x14ac:dyDescent="0.4">
      <c r="B187" s="16" t="s">
        <v>128</v>
      </c>
      <c r="C187" s="14"/>
      <c r="D187" s="40">
        <f t="shared" ref="D187:I187" si="21">SUM(D177:D186)</f>
        <v>-571</v>
      </c>
      <c r="E187" s="40">
        <f t="shared" si="21"/>
        <v>-629</v>
      </c>
      <c r="F187" s="40">
        <f t="shared" si="21"/>
        <v>-693</v>
      </c>
      <c r="G187" s="40">
        <f t="shared" si="21"/>
        <v>-329</v>
      </c>
      <c r="H187" s="40">
        <f t="shared" si="21"/>
        <v>-2277</v>
      </c>
      <c r="I187" s="40">
        <f t="shared" si="21"/>
        <v>-868</v>
      </c>
      <c r="L187" s="63"/>
      <c r="M187" s="63"/>
    </row>
    <row r="188" spans="2:13" x14ac:dyDescent="0.35">
      <c r="B188" s="14"/>
      <c r="C188" s="14"/>
      <c r="D188" s="26"/>
      <c r="E188" s="26"/>
      <c r="F188" s="26"/>
      <c r="G188" s="26"/>
      <c r="H188" s="26"/>
      <c r="I188" s="26"/>
      <c r="L188" s="63"/>
    </row>
    <row r="189" spans="2:13" x14ac:dyDescent="0.35">
      <c r="B189" s="10" t="s">
        <v>129</v>
      </c>
      <c r="C189" s="14"/>
      <c r="D189" s="25"/>
      <c r="E189" s="25"/>
      <c r="F189" s="25"/>
      <c r="G189" s="25"/>
      <c r="H189" s="28"/>
      <c r="I189" s="25"/>
      <c r="L189" s="63"/>
    </row>
    <row r="190" spans="2:13" ht="6.75" customHeight="1" x14ac:dyDescent="0.35">
      <c r="B190" s="12"/>
      <c r="C190" s="14"/>
      <c r="D190" s="26"/>
      <c r="E190" s="26"/>
      <c r="F190" s="26"/>
      <c r="G190" s="26"/>
      <c r="H190" s="27"/>
      <c r="I190" s="26"/>
      <c r="L190" s="63"/>
    </row>
    <row r="191" spans="2:13" outlineLevel="1" x14ac:dyDescent="0.35">
      <c r="B191" s="50" t="s">
        <v>130</v>
      </c>
      <c r="C191" s="14"/>
      <c r="D191" s="32">
        <v>0</v>
      </c>
      <c r="E191" s="34">
        <v>-361</v>
      </c>
      <c r="F191" s="34">
        <v>-249</v>
      </c>
      <c r="G191" s="34">
        <v>0</v>
      </c>
      <c r="H191" s="32">
        <v>0</v>
      </c>
      <c r="I191" s="34">
        <v>0</v>
      </c>
      <c r="L191" s="63"/>
    </row>
    <row r="192" spans="2:13" outlineLevel="1" x14ac:dyDescent="0.35">
      <c r="B192" s="50" t="s">
        <v>220</v>
      </c>
      <c r="C192" s="14"/>
      <c r="D192" s="32">
        <v>0</v>
      </c>
      <c r="E192" s="32">
        <v>0</v>
      </c>
      <c r="F192" s="32">
        <v>0</v>
      </c>
      <c r="G192" s="32">
        <v>0</v>
      </c>
      <c r="H192" s="32">
        <v>0</v>
      </c>
      <c r="I192" s="34">
        <v>970</v>
      </c>
      <c r="L192" s="63"/>
    </row>
    <row r="193" spans="2:12" outlineLevel="1" x14ac:dyDescent="0.35">
      <c r="B193" s="50" t="s">
        <v>131</v>
      </c>
      <c r="C193" s="14"/>
      <c r="D193" s="32">
        <v>0</v>
      </c>
      <c r="E193" s="32">
        <v>0</v>
      </c>
      <c r="F193" s="32">
        <v>0</v>
      </c>
      <c r="G193" s="32">
        <v>0</v>
      </c>
      <c r="H193" s="34">
        <v>2225</v>
      </c>
      <c r="I193" s="32">
        <v>220</v>
      </c>
      <c r="L193" s="63"/>
    </row>
    <row r="194" spans="2:12" outlineLevel="1" x14ac:dyDescent="0.35">
      <c r="B194" s="50" t="s">
        <v>132</v>
      </c>
      <c r="C194" s="14"/>
      <c r="D194" s="34">
        <v>1617.5</v>
      </c>
      <c r="E194" s="32">
        <v>0</v>
      </c>
      <c r="F194" s="34">
        <v>660</v>
      </c>
      <c r="G194" s="34">
        <v>178</v>
      </c>
      <c r="H194" s="34">
        <v>178</v>
      </c>
      <c r="I194" s="34">
        <v>0</v>
      </c>
      <c r="L194" s="63"/>
    </row>
    <row r="195" spans="2:12" outlineLevel="1" x14ac:dyDescent="0.35">
      <c r="B195" s="50" t="s">
        <v>133</v>
      </c>
      <c r="C195" s="14"/>
      <c r="D195" s="34">
        <v>45.9</v>
      </c>
      <c r="E195" s="32">
        <v>11</v>
      </c>
      <c r="F195" s="32">
        <v>0</v>
      </c>
      <c r="G195" s="32">
        <v>0</v>
      </c>
      <c r="H195" s="32">
        <v>0</v>
      </c>
      <c r="I195" s="32">
        <v>0</v>
      </c>
      <c r="L195" s="63"/>
    </row>
    <row r="196" spans="2:12" outlineLevel="1" x14ac:dyDescent="0.35">
      <c r="B196" s="50" t="s">
        <v>221</v>
      </c>
      <c r="C196" s="14"/>
      <c r="D196" s="32">
        <v>500</v>
      </c>
      <c r="E196" s="32">
        <v>0</v>
      </c>
      <c r="F196" s="32">
        <v>0</v>
      </c>
      <c r="G196" s="32">
        <v>0</v>
      </c>
      <c r="H196" s="32">
        <v>1720</v>
      </c>
      <c r="I196" s="32">
        <v>894</v>
      </c>
      <c r="L196" s="63"/>
    </row>
    <row r="197" spans="2:12" outlineLevel="1" x14ac:dyDescent="0.35">
      <c r="B197" s="50" t="s">
        <v>134</v>
      </c>
      <c r="C197" s="14"/>
      <c r="D197" s="35">
        <f>-160.4-D198</f>
        <v>-137.4</v>
      </c>
      <c r="E197" s="35">
        <f>-254-E198</f>
        <v>-228.3</v>
      </c>
      <c r="F197" s="32">
        <v>-207</v>
      </c>
      <c r="G197" s="32">
        <v>-128</v>
      </c>
      <c r="H197" s="32">
        <v>-265</v>
      </c>
      <c r="I197" s="32">
        <v>-133</v>
      </c>
      <c r="L197" s="63"/>
    </row>
    <row r="198" spans="2:12" outlineLevel="1" x14ac:dyDescent="0.35">
      <c r="B198" s="50" t="s">
        <v>135</v>
      </c>
      <c r="C198" s="14"/>
      <c r="D198" s="35">
        <f>-22.3-0.7</f>
        <v>-23</v>
      </c>
      <c r="E198" s="35">
        <f>-25.1-0.6</f>
        <v>-25.700000000000003</v>
      </c>
      <c r="F198" s="32">
        <v>-52</v>
      </c>
      <c r="G198" s="32">
        <v>-26</v>
      </c>
      <c r="H198" s="32">
        <v>-54</v>
      </c>
      <c r="I198" s="32">
        <v>-22</v>
      </c>
      <c r="L198" s="63"/>
    </row>
    <row r="199" spans="2:12" outlineLevel="1" x14ac:dyDescent="0.35">
      <c r="B199" s="50" t="s">
        <v>136</v>
      </c>
      <c r="C199" s="14"/>
      <c r="D199" s="32">
        <v>-1276.5</v>
      </c>
      <c r="E199" s="32">
        <v>0</v>
      </c>
      <c r="F199" s="32">
        <v>0</v>
      </c>
      <c r="G199" s="32">
        <v>0</v>
      </c>
      <c r="H199" s="32">
        <v>0</v>
      </c>
      <c r="I199" s="32">
        <v>0</v>
      </c>
      <c r="L199" s="63"/>
    </row>
    <row r="200" spans="2:12" outlineLevel="1" x14ac:dyDescent="0.35">
      <c r="B200" s="50" t="s">
        <v>137</v>
      </c>
      <c r="C200" s="14"/>
      <c r="D200" s="32">
        <v>-48.5</v>
      </c>
      <c r="E200" s="32">
        <v>0</v>
      </c>
      <c r="F200" s="32">
        <v>0</v>
      </c>
      <c r="G200" s="32">
        <v>0</v>
      </c>
      <c r="H200" s="32">
        <v>0</v>
      </c>
      <c r="I200" s="32">
        <v>0</v>
      </c>
      <c r="L200" s="63"/>
    </row>
    <row r="201" spans="2:12" outlineLevel="1" x14ac:dyDescent="0.35">
      <c r="B201" s="50" t="s">
        <v>138</v>
      </c>
      <c r="C201" s="14"/>
      <c r="D201" s="32">
        <v>0</v>
      </c>
      <c r="E201" s="32">
        <v>0</v>
      </c>
      <c r="F201" s="32">
        <v>0</v>
      </c>
      <c r="G201" s="32">
        <v>0</v>
      </c>
      <c r="H201" s="32">
        <v>-1975</v>
      </c>
      <c r="I201" s="32">
        <v>-470</v>
      </c>
      <c r="L201" s="63"/>
    </row>
    <row r="202" spans="2:12" outlineLevel="1" x14ac:dyDescent="0.35">
      <c r="B202" s="50" t="s">
        <v>139</v>
      </c>
      <c r="C202" s="14"/>
      <c r="D202" s="32">
        <v>-697.5</v>
      </c>
      <c r="E202" s="32">
        <v>-1663</v>
      </c>
      <c r="F202" s="32">
        <v>-1435</v>
      </c>
      <c r="G202" s="32">
        <v>-178</v>
      </c>
      <c r="H202" s="32">
        <v>-178</v>
      </c>
      <c r="I202" s="32">
        <v>0</v>
      </c>
      <c r="L202" s="63"/>
    </row>
    <row r="203" spans="2:12" outlineLevel="1" x14ac:dyDescent="0.35">
      <c r="B203" s="50" t="s">
        <v>140</v>
      </c>
      <c r="C203" s="14"/>
      <c r="D203" s="32">
        <v>-400</v>
      </c>
      <c r="E203" s="32">
        <v>0</v>
      </c>
      <c r="F203" s="32">
        <v>0</v>
      </c>
      <c r="G203" s="32">
        <v>0</v>
      </c>
      <c r="H203" s="32">
        <v>0</v>
      </c>
      <c r="I203" s="32">
        <v>0</v>
      </c>
      <c r="L203" s="63"/>
    </row>
    <row r="204" spans="2:12" outlineLevel="1" x14ac:dyDescent="0.35">
      <c r="B204" s="50" t="s">
        <v>141</v>
      </c>
      <c r="C204" s="14"/>
      <c r="D204" s="32">
        <v>-14.7</v>
      </c>
      <c r="E204" s="32">
        <v>-38</v>
      </c>
      <c r="F204" s="32">
        <v>-11</v>
      </c>
      <c r="G204" s="32">
        <v>0</v>
      </c>
      <c r="H204" s="32">
        <v>0</v>
      </c>
      <c r="I204" s="32">
        <v>0</v>
      </c>
      <c r="L204" s="63"/>
    </row>
    <row r="205" spans="2:12" outlineLevel="1" x14ac:dyDescent="0.35">
      <c r="B205" s="50" t="s">
        <v>142</v>
      </c>
      <c r="C205" s="14"/>
      <c r="D205" s="32">
        <v>-9.3000000000000007</v>
      </c>
      <c r="E205" s="32">
        <v>-15</v>
      </c>
      <c r="F205" s="32">
        <v>-21</v>
      </c>
      <c r="G205" s="32">
        <v>-10</v>
      </c>
      <c r="H205" s="32">
        <v>-17</v>
      </c>
      <c r="I205" s="32">
        <v>0</v>
      </c>
      <c r="L205" s="63"/>
    </row>
    <row r="206" spans="2:12" outlineLevel="1" x14ac:dyDescent="0.35">
      <c r="B206" s="50" t="s">
        <v>143</v>
      </c>
      <c r="C206" s="14"/>
      <c r="D206" s="32">
        <v>-135.69999999999999</v>
      </c>
      <c r="E206" s="32">
        <v>0</v>
      </c>
      <c r="F206" s="32">
        <v>0</v>
      </c>
      <c r="G206" s="32">
        <v>0</v>
      </c>
      <c r="H206" s="32">
        <v>0</v>
      </c>
      <c r="I206" s="32">
        <v>0</v>
      </c>
      <c r="L206" s="63"/>
    </row>
    <row r="207" spans="2:12" outlineLevel="1" x14ac:dyDescent="0.35">
      <c r="B207" s="50" t="s">
        <v>222</v>
      </c>
      <c r="C207" s="14"/>
      <c r="D207" s="32">
        <v>0</v>
      </c>
      <c r="E207" s="32">
        <v>0</v>
      </c>
      <c r="F207" s="32">
        <v>0</v>
      </c>
      <c r="G207" s="32">
        <v>0</v>
      </c>
      <c r="H207" s="32">
        <v>0</v>
      </c>
      <c r="I207" s="52">
        <v>-262</v>
      </c>
      <c r="J207" s="35"/>
      <c r="L207" s="63"/>
    </row>
    <row r="208" spans="2:12" outlineLevel="1" x14ac:dyDescent="0.35">
      <c r="B208" s="50" t="s">
        <v>223</v>
      </c>
      <c r="C208" s="32">
        <v>0</v>
      </c>
      <c r="D208" s="32">
        <v>0</v>
      </c>
      <c r="E208" s="32">
        <v>0</v>
      </c>
      <c r="F208" s="32">
        <v>0</v>
      </c>
      <c r="G208" s="32">
        <v>0</v>
      </c>
      <c r="H208" s="32">
        <v>0</v>
      </c>
      <c r="I208" s="52">
        <v>-558</v>
      </c>
      <c r="J208" s="35"/>
      <c r="L208" s="63"/>
    </row>
    <row r="209" spans="2:13" outlineLevel="1" x14ac:dyDescent="0.35">
      <c r="B209" s="50" t="s">
        <v>144</v>
      </c>
      <c r="C209" s="14"/>
      <c r="D209" s="32">
        <v>-3.1</v>
      </c>
      <c r="E209" s="32">
        <v>-21</v>
      </c>
      <c r="F209" s="32">
        <v>-12</v>
      </c>
      <c r="G209" s="32">
        <v>-20</v>
      </c>
      <c r="H209" s="32">
        <v>-25</v>
      </c>
      <c r="I209" s="32"/>
      <c r="L209" s="63"/>
    </row>
    <row r="210" spans="2:13" outlineLevel="1" x14ac:dyDescent="0.35">
      <c r="B210" s="50" t="s">
        <v>145</v>
      </c>
      <c r="C210" s="14"/>
      <c r="D210" s="32">
        <v>-204.9</v>
      </c>
      <c r="E210" s="32">
        <v>-142</v>
      </c>
      <c r="F210" s="32">
        <v>-150</v>
      </c>
      <c r="G210" s="32">
        <v>-87</v>
      </c>
      <c r="H210" s="32">
        <v>-181</v>
      </c>
      <c r="I210" s="32">
        <v>-47</v>
      </c>
      <c r="L210" s="63"/>
      <c r="M210" s="63"/>
    </row>
    <row r="211" spans="2:13" outlineLevel="1" x14ac:dyDescent="0.35">
      <c r="B211" s="50" t="s">
        <v>224</v>
      </c>
      <c r="C211" s="14"/>
      <c r="D211" s="32">
        <v>0</v>
      </c>
      <c r="E211" s="32">
        <v>0</v>
      </c>
      <c r="F211" s="32">
        <v>0</v>
      </c>
      <c r="G211" s="32">
        <v>0</v>
      </c>
      <c r="H211" s="32">
        <v>0</v>
      </c>
      <c r="I211" s="52">
        <v>-38</v>
      </c>
      <c r="J211" s="35"/>
      <c r="L211" s="63"/>
    </row>
    <row r="212" spans="2:13" ht="15" outlineLevel="1" thickBot="1" x14ac:dyDescent="0.4">
      <c r="B212" s="50" t="s">
        <v>146</v>
      </c>
      <c r="C212" s="14"/>
      <c r="D212" s="32">
        <v>0</v>
      </c>
      <c r="E212" s="32">
        <v>-190</v>
      </c>
      <c r="F212" s="32">
        <v>-190</v>
      </c>
      <c r="G212" s="32">
        <v>-100</v>
      </c>
      <c r="H212" s="32">
        <v>-199</v>
      </c>
      <c r="I212" s="32">
        <v>-228</v>
      </c>
      <c r="L212" s="63"/>
    </row>
    <row r="213" spans="2:13" ht="15" thickBot="1" x14ac:dyDescent="0.4">
      <c r="B213" s="16" t="s">
        <v>147</v>
      </c>
      <c r="C213" s="14"/>
      <c r="D213" s="40">
        <f>SUM(D191:D212)</f>
        <v>-787.2</v>
      </c>
      <c r="E213" s="40">
        <f>SUM(E191:E212)-1</f>
        <v>-2674</v>
      </c>
      <c r="F213" s="40">
        <f>SUM(F191:F212)</f>
        <v>-1667</v>
      </c>
      <c r="G213" s="40">
        <f>SUM(G191:G212)</f>
        <v>-371</v>
      </c>
      <c r="H213" s="40">
        <f>SUM(H191:H212)</f>
        <v>1229</v>
      </c>
      <c r="I213" s="40">
        <f>SUM(I191:I212)</f>
        <v>326</v>
      </c>
      <c r="L213" s="63"/>
    </row>
    <row r="214" spans="2:13" x14ac:dyDescent="0.35">
      <c r="B214" s="14"/>
      <c r="C214" s="14"/>
      <c r="D214" s="26"/>
      <c r="E214" s="26"/>
      <c r="F214" s="26"/>
      <c r="G214" s="26"/>
      <c r="H214" s="26"/>
      <c r="I214" s="26"/>
      <c r="L214" s="63"/>
    </row>
    <row r="215" spans="2:13" outlineLevel="1" x14ac:dyDescent="0.35">
      <c r="B215" s="50" t="s">
        <v>148</v>
      </c>
      <c r="C215" s="14"/>
      <c r="D215" s="34">
        <v>256</v>
      </c>
      <c r="E215" s="34">
        <v>-173</v>
      </c>
      <c r="F215" s="32">
        <v>-210</v>
      </c>
      <c r="G215" s="32">
        <v>253</v>
      </c>
      <c r="H215" s="34">
        <v>567</v>
      </c>
      <c r="I215" s="34">
        <f>I173+I187+I213</f>
        <v>1904</v>
      </c>
      <c r="L215" s="63"/>
    </row>
    <row r="216" spans="2:13" outlineLevel="1" x14ac:dyDescent="0.35">
      <c r="B216" s="50" t="s">
        <v>149</v>
      </c>
      <c r="C216" s="14"/>
      <c r="D216" s="34">
        <v>-2.7</v>
      </c>
      <c r="E216" s="34">
        <v>-26</v>
      </c>
      <c r="F216" s="34">
        <v>-4</v>
      </c>
      <c r="G216" s="34">
        <v>0</v>
      </c>
      <c r="H216" s="34">
        <v>-37</v>
      </c>
      <c r="I216" s="34">
        <v>-2</v>
      </c>
      <c r="L216" s="63"/>
    </row>
    <row r="217" spans="2:13" outlineLevel="1" x14ac:dyDescent="0.35">
      <c r="B217" s="50" t="s">
        <v>150</v>
      </c>
      <c r="C217" s="14"/>
      <c r="D217" s="34">
        <v>0</v>
      </c>
      <c r="E217" s="32">
        <v>0</v>
      </c>
      <c r="F217" s="32">
        <v>0</v>
      </c>
      <c r="G217" s="32">
        <v>0</v>
      </c>
      <c r="H217" s="32">
        <v>-11</v>
      </c>
      <c r="I217" s="32">
        <v>4</v>
      </c>
      <c r="L217" s="63"/>
    </row>
    <row r="218" spans="2:13" ht="15" outlineLevel="1" thickBot="1" x14ac:dyDescent="0.4">
      <c r="B218" s="50" t="s">
        <v>151</v>
      </c>
      <c r="C218" s="14"/>
      <c r="D218" s="34">
        <v>445.4</v>
      </c>
      <c r="E218" s="34">
        <v>699</v>
      </c>
      <c r="F218" s="32">
        <v>500</v>
      </c>
      <c r="G218" s="32">
        <v>286</v>
      </c>
      <c r="H218" s="34">
        <v>286</v>
      </c>
      <c r="I218" s="32">
        <v>805</v>
      </c>
      <c r="L218" s="63"/>
    </row>
    <row r="219" spans="2:13" ht="15" thickBot="1" x14ac:dyDescent="0.4">
      <c r="B219" s="11" t="s">
        <v>152</v>
      </c>
      <c r="C219" s="14"/>
      <c r="D219" s="40">
        <f>SUM(D215:D218)</f>
        <v>698.7</v>
      </c>
      <c r="E219" s="40">
        <f>SUM(E215:E218)</f>
        <v>500</v>
      </c>
      <c r="F219" s="40">
        <f>SUM(F215:F218)</f>
        <v>286</v>
      </c>
      <c r="G219" s="40">
        <f>SUM(G215:G218)</f>
        <v>539</v>
      </c>
      <c r="H219" s="40">
        <f>SUM(H215:H218)</f>
        <v>805</v>
      </c>
      <c r="I219" s="40">
        <v>2711</v>
      </c>
      <c r="L219" s="63"/>
    </row>
    <row r="220" spans="2:13" x14ac:dyDescent="0.35">
      <c r="D220" s="59"/>
      <c r="E220" s="59"/>
      <c r="F220" s="59"/>
      <c r="G220" s="59"/>
      <c r="H220" s="59"/>
      <c r="I220" s="59"/>
      <c r="L220" s="63"/>
    </row>
    <row r="221" spans="2:13" ht="15" customHeight="1" outlineLevel="1" x14ac:dyDescent="0.35">
      <c r="B221" s="50" t="s">
        <v>153</v>
      </c>
      <c r="C221" s="14"/>
      <c r="D221" s="34">
        <v>-2312</v>
      </c>
      <c r="E221" s="34">
        <v>-702</v>
      </c>
      <c r="F221" s="32">
        <v>0</v>
      </c>
      <c r="G221" s="32">
        <v>0</v>
      </c>
      <c r="H221" s="34">
        <v>-218</v>
      </c>
      <c r="I221" s="32">
        <v>0</v>
      </c>
      <c r="L221" s="63"/>
    </row>
    <row r="222" spans="2:13" ht="15" customHeight="1" outlineLevel="1" x14ac:dyDescent="0.35">
      <c r="B222" s="50" t="s">
        <v>154</v>
      </c>
      <c r="C222" s="14"/>
      <c r="D222" s="34">
        <v>-489.5</v>
      </c>
      <c r="E222" s="34">
        <v>-491</v>
      </c>
      <c r="F222" s="34">
        <v>-493</v>
      </c>
      <c r="G222" s="34">
        <v>-494</v>
      </c>
      <c r="H222" s="34">
        <v>-5011</v>
      </c>
      <c r="I222" s="34">
        <v>-6309</v>
      </c>
      <c r="L222" s="63"/>
    </row>
    <row r="223" spans="2:13" ht="15" customHeight="1" outlineLevel="1" x14ac:dyDescent="0.35">
      <c r="B223" s="50" t="s">
        <v>155</v>
      </c>
      <c r="C223" s="14"/>
      <c r="D223" s="34">
        <v>-44.6</v>
      </c>
      <c r="E223" s="34">
        <v>-11</v>
      </c>
      <c r="F223" s="32">
        <v>0</v>
      </c>
      <c r="G223" s="32">
        <v>0</v>
      </c>
      <c r="H223" s="32">
        <v>0</v>
      </c>
      <c r="I223" s="32">
        <v>0</v>
      </c>
      <c r="L223" s="63"/>
    </row>
    <row r="224" spans="2:13" ht="15" customHeight="1" outlineLevel="1" x14ac:dyDescent="0.35">
      <c r="B224" s="18" t="s">
        <v>156</v>
      </c>
      <c r="C224" s="14"/>
      <c r="D224" s="46">
        <f t="shared" ref="D224:I224" si="22">SUM(D219:D223)</f>
        <v>-2147.4</v>
      </c>
      <c r="E224" s="46">
        <f t="shared" si="22"/>
        <v>-704</v>
      </c>
      <c r="F224" s="46">
        <f t="shared" si="22"/>
        <v>-207</v>
      </c>
      <c r="G224" s="46">
        <f t="shared" si="22"/>
        <v>45</v>
      </c>
      <c r="H224" s="46">
        <f t="shared" si="22"/>
        <v>-4424</v>
      </c>
      <c r="I224" s="46">
        <f t="shared" si="22"/>
        <v>-3598</v>
      </c>
      <c r="L224" s="63"/>
    </row>
    <row r="225" spans="2:12" ht="15" customHeight="1" outlineLevel="1" x14ac:dyDescent="0.35">
      <c r="B225" s="50" t="s">
        <v>166</v>
      </c>
      <c r="C225" s="14"/>
      <c r="D225" s="34">
        <v>-39.9</v>
      </c>
      <c r="E225" s="34">
        <v>-34</v>
      </c>
      <c r="F225" s="32">
        <v>-16</v>
      </c>
      <c r="G225" s="32">
        <v>-7</v>
      </c>
      <c r="H225" s="34">
        <v>0</v>
      </c>
      <c r="I225" s="32">
        <v>0</v>
      </c>
      <c r="L225" s="63"/>
    </row>
    <row r="226" spans="2:12" ht="15" customHeight="1" outlineLevel="1" x14ac:dyDescent="0.35">
      <c r="B226" s="13" t="s">
        <v>157</v>
      </c>
      <c r="C226" s="18"/>
      <c r="D226" s="46">
        <f t="shared" ref="D226:I226" si="23">SUM(D224:D225)</f>
        <v>-2187.3000000000002</v>
      </c>
      <c r="E226" s="46">
        <f t="shared" si="23"/>
        <v>-738</v>
      </c>
      <c r="F226" s="58">
        <f t="shared" si="23"/>
        <v>-223</v>
      </c>
      <c r="G226" s="58">
        <f t="shared" si="23"/>
        <v>38</v>
      </c>
      <c r="H226" s="58">
        <f t="shared" si="23"/>
        <v>-4424</v>
      </c>
      <c r="I226" s="58">
        <f t="shared" si="23"/>
        <v>-3598</v>
      </c>
      <c r="L226" s="63"/>
    </row>
    <row r="227" spans="2:12" ht="15" customHeight="1" outlineLevel="1" x14ac:dyDescent="0.35">
      <c r="B227" s="50" t="s">
        <v>158</v>
      </c>
      <c r="C227" s="14"/>
      <c r="D227" s="34">
        <v>0</v>
      </c>
      <c r="E227" s="34">
        <v>0</v>
      </c>
      <c r="F227" s="34">
        <v>42</v>
      </c>
      <c r="G227" s="34">
        <v>95</v>
      </c>
      <c r="H227" s="32">
        <v>0</v>
      </c>
      <c r="I227" s="34">
        <v>0</v>
      </c>
      <c r="L227" s="63"/>
    </row>
    <row r="228" spans="2:12" ht="15" customHeight="1" outlineLevel="1" thickBot="1" x14ac:dyDescent="0.4">
      <c r="B228" s="50" t="s">
        <v>61</v>
      </c>
      <c r="C228" s="14"/>
      <c r="D228" s="32">
        <v>0</v>
      </c>
      <c r="E228" s="32">
        <v>0</v>
      </c>
      <c r="F228" s="32">
        <v>19</v>
      </c>
      <c r="G228" s="32">
        <v>14</v>
      </c>
      <c r="H228" s="32">
        <v>0</v>
      </c>
      <c r="I228" s="32">
        <v>0</v>
      </c>
      <c r="L228" s="63"/>
    </row>
    <row r="229" spans="2:12" ht="15" customHeight="1" outlineLevel="1" thickBot="1" x14ac:dyDescent="0.4">
      <c r="B229" s="11" t="s">
        <v>159</v>
      </c>
      <c r="C229" s="14"/>
      <c r="D229" s="60">
        <f t="shared" ref="D229:I229" si="24">SUM(D226:D228)</f>
        <v>-2187.3000000000002</v>
      </c>
      <c r="E229" s="60">
        <f t="shared" si="24"/>
        <v>-738</v>
      </c>
      <c r="F229" s="60">
        <f t="shared" si="24"/>
        <v>-162</v>
      </c>
      <c r="G229" s="60">
        <f t="shared" si="24"/>
        <v>147</v>
      </c>
      <c r="H229" s="60">
        <f t="shared" si="24"/>
        <v>-4424</v>
      </c>
      <c r="I229" s="60">
        <f t="shared" si="24"/>
        <v>-3598</v>
      </c>
      <c r="L229" s="63"/>
    </row>
    <row r="230" spans="2:12" ht="15" outlineLevel="1" thickBot="1" x14ac:dyDescent="0.4">
      <c r="B230" s="50" t="s">
        <v>160</v>
      </c>
      <c r="D230" s="59">
        <v>114.4</v>
      </c>
      <c r="E230" s="59">
        <v>82</v>
      </c>
      <c r="F230" s="34">
        <v>61</v>
      </c>
      <c r="G230" s="34">
        <v>115</v>
      </c>
      <c r="H230" s="34">
        <v>284</v>
      </c>
      <c r="I230" s="34">
        <v>250</v>
      </c>
      <c r="L230" s="63"/>
    </row>
    <row r="231" spans="2:12" ht="15" thickBot="1" x14ac:dyDescent="0.4">
      <c r="B231" s="16" t="s">
        <v>161</v>
      </c>
      <c r="C231" s="14"/>
      <c r="D231" s="40">
        <f t="shared" ref="D231:I231" si="25">D229-D230</f>
        <v>-2301.7000000000003</v>
      </c>
      <c r="E231" s="40">
        <f t="shared" si="25"/>
        <v>-820</v>
      </c>
      <c r="F231" s="40">
        <f t="shared" si="25"/>
        <v>-223</v>
      </c>
      <c r="G231" s="40">
        <f t="shared" si="25"/>
        <v>32</v>
      </c>
      <c r="H231" s="40">
        <f t="shared" si="25"/>
        <v>-4708</v>
      </c>
      <c r="I231" s="40">
        <f t="shared" si="25"/>
        <v>-3848</v>
      </c>
      <c r="L231" s="63"/>
    </row>
    <row r="232" spans="2:12" ht="15" thickBot="1" x14ac:dyDescent="0.4">
      <c r="D232" s="59"/>
      <c r="E232" s="59"/>
      <c r="F232" s="59"/>
      <c r="G232" s="59"/>
      <c r="H232" s="59"/>
      <c r="I232" s="59"/>
      <c r="L232" s="63"/>
    </row>
    <row r="233" spans="2:12" ht="15" thickBot="1" x14ac:dyDescent="0.4">
      <c r="B233" s="16" t="s">
        <v>162</v>
      </c>
      <c r="C233" s="14"/>
      <c r="D233" s="40">
        <f>D173+D187+D197+D198+D210</f>
        <v>678.10999999999922</v>
      </c>
      <c r="E233" s="40">
        <f>E173+E187+E197+E198+E210</f>
        <v>2105</v>
      </c>
      <c r="F233" s="40">
        <f>F173+F187+F197+F198+F210</f>
        <v>1048</v>
      </c>
      <c r="G233" s="40">
        <f>G173+G187+G197+G198+G210</f>
        <v>383</v>
      </c>
      <c r="H233" s="40">
        <f>H173+H187-H182+H197+H198+H210</f>
        <v>-118</v>
      </c>
      <c r="I233" s="40">
        <f>I173+I187-I182+I197+I198+I210</f>
        <v>1360</v>
      </c>
      <c r="L233" s="63"/>
    </row>
    <row r="235" spans="2:12" x14ac:dyDescent="0.35">
      <c r="B235" s="17"/>
    </row>
    <row r="236" spans="2:12" ht="58" x14ac:dyDescent="0.35">
      <c r="B236" s="107" t="s">
        <v>271</v>
      </c>
    </row>
  </sheetData>
  <phoneticPr fontId="15" type="noConversion"/>
  <pageMargins left="0.7" right="0.7" top="0.75" bottom="0.75" header="0.3" footer="0.3"/>
  <customProperties>
    <customPr name="_pios_id" r:id="rId1"/>
  </customProperties>
  <ignoredErrors>
    <ignoredError sqref="D75 F75" formulaRange="1"/>
    <ignoredError sqref="E75"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3909-5537-452A-90B9-6906362E4D81}">
  <dimension ref="C3:P101"/>
  <sheetViews>
    <sheetView showGridLines="0" topLeftCell="A62" workbookViewId="0">
      <selection activeCell="H111" sqref="H111"/>
    </sheetView>
  </sheetViews>
  <sheetFormatPr defaultRowHeight="14.5" x14ac:dyDescent="0.35"/>
  <cols>
    <col min="3" max="3" width="37.81640625" customWidth="1"/>
    <col min="4" max="4" width="3.453125" customWidth="1"/>
    <col min="5" max="7" width="13.1796875" customWidth="1"/>
    <col min="8" max="8" width="13" customWidth="1"/>
    <col min="9" max="9" width="13.1796875" customWidth="1"/>
    <col min="10" max="10" width="13" customWidth="1"/>
  </cols>
  <sheetData>
    <row r="3" spans="3:10" x14ac:dyDescent="0.35">
      <c r="C3" s="9" t="s">
        <v>174</v>
      </c>
      <c r="D3" s="14"/>
      <c r="E3" s="66">
        <v>2021</v>
      </c>
      <c r="F3" s="66">
        <v>2022</v>
      </c>
      <c r="G3" s="66">
        <v>2023</v>
      </c>
      <c r="H3" s="66" t="s">
        <v>176</v>
      </c>
      <c r="I3" s="66" t="s">
        <v>197</v>
      </c>
      <c r="J3" s="66" t="s">
        <v>181</v>
      </c>
    </row>
    <row r="4" spans="3:10" ht="6.75" customHeight="1" x14ac:dyDescent="0.35">
      <c r="E4" s="31"/>
      <c r="F4" s="31"/>
      <c r="G4" s="31"/>
      <c r="H4" s="31"/>
      <c r="I4" s="31"/>
      <c r="J4" s="31"/>
    </row>
    <row r="5" spans="3:10" ht="14.5" customHeight="1" x14ac:dyDescent="0.35">
      <c r="C5" s="10" t="s">
        <v>202</v>
      </c>
      <c r="D5" s="14"/>
      <c r="E5" s="25"/>
      <c r="F5" s="25"/>
      <c r="G5" s="25"/>
      <c r="H5" s="25"/>
      <c r="I5" s="28"/>
      <c r="J5" s="28"/>
    </row>
    <row r="6" spans="3:10" ht="5.5" customHeight="1" x14ac:dyDescent="0.35">
      <c r="E6" s="31"/>
      <c r="F6" s="31"/>
      <c r="G6" s="31"/>
      <c r="H6" s="31"/>
      <c r="I6" s="31"/>
      <c r="J6" s="31"/>
    </row>
    <row r="7" spans="3:10" ht="14.5" customHeight="1" x14ac:dyDescent="0.35">
      <c r="C7" s="14" t="s">
        <v>170</v>
      </c>
      <c r="E7" s="79"/>
      <c r="F7" s="79"/>
      <c r="G7" s="79"/>
      <c r="H7" s="79"/>
      <c r="I7" s="31">
        <v>18.493344262295079</v>
      </c>
      <c r="J7" s="31">
        <v>57.656359116022102</v>
      </c>
    </row>
    <row r="8" spans="3:10" ht="14.5" customHeight="1" x14ac:dyDescent="0.35">
      <c r="C8" s="14" t="s">
        <v>172</v>
      </c>
      <c r="E8" s="31">
        <v>92.6</v>
      </c>
      <c r="F8" s="31">
        <v>99.8</v>
      </c>
      <c r="G8" s="31">
        <v>86</v>
      </c>
      <c r="H8" s="31">
        <v>71</v>
      </c>
      <c r="I8" s="31">
        <v>72.90881342896175</v>
      </c>
      <c r="J8" s="31">
        <v>83.200973110497245</v>
      </c>
    </row>
    <row r="9" spans="3:10" ht="14.5" customHeight="1" x14ac:dyDescent="0.35">
      <c r="C9" s="14" t="s">
        <v>168</v>
      </c>
      <c r="E9" s="79"/>
      <c r="F9" s="79"/>
      <c r="G9" s="79"/>
      <c r="H9" s="79"/>
      <c r="I9" s="31">
        <v>6.1641658469945364</v>
      </c>
      <c r="J9" s="31">
        <v>18.816325966850833</v>
      </c>
    </row>
    <row r="10" spans="3:10" ht="14.5" customHeight="1" x14ac:dyDescent="0.35">
      <c r="C10" s="14" t="s">
        <v>167</v>
      </c>
      <c r="E10" s="79"/>
      <c r="F10" s="79"/>
      <c r="G10" s="79"/>
      <c r="H10" s="79"/>
      <c r="I10" s="31">
        <v>1.44369781420765</v>
      </c>
      <c r="J10" s="31">
        <v>5.2552707182320431</v>
      </c>
    </row>
    <row r="11" spans="3:10" ht="14.5" customHeight="1" x14ac:dyDescent="0.35">
      <c r="C11" s="14" t="s">
        <v>169</v>
      </c>
      <c r="E11" s="79"/>
      <c r="F11" s="79"/>
      <c r="G11" s="79"/>
      <c r="H11" s="79"/>
      <c r="I11" s="31">
        <v>3.0878387978142072</v>
      </c>
      <c r="J11" s="31">
        <v>8.6336712707182315</v>
      </c>
    </row>
    <row r="12" spans="3:10" ht="14.5" customHeight="1" x14ac:dyDescent="0.35">
      <c r="C12" s="14" t="s">
        <v>182</v>
      </c>
      <c r="E12" s="79"/>
      <c r="F12" s="79"/>
      <c r="G12" s="79"/>
      <c r="H12" s="79"/>
      <c r="I12" s="31">
        <v>1.6588333333333334</v>
      </c>
      <c r="J12" s="31">
        <v>4.4057624309392267</v>
      </c>
    </row>
    <row r="13" spans="3:10" ht="14.5" customHeight="1" thickBot="1" x14ac:dyDescent="0.4">
      <c r="C13" s="14" t="s">
        <v>171</v>
      </c>
      <c r="E13" s="31">
        <v>3.6</v>
      </c>
      <c r="F13" s="31">
        <v>3.7</v>
      </c>
      <c r="G13" s="31">
        <v>4</v>
      </c>
      <c r="H13" s="31">
        <v>4.3</v>
      </c>
      <c r="I13" s="31">
        <v>4.9881978242866776</v>
      </c>
      <c r="J13" s="31">
        <v>3.9380552730452045</v>
      </c>
    </row>
    <row r="14" spans="3:10" ht="14.5" customHeight="1" thickBot="1" x14ac:dyDescent="0.4">
      <c r="C14" s="16" t="s">
        <v>173</v>
      </c>
      <c r="E14" s="40">
        <f>SUM(E7:E13)</f>
        <v>96.199999999999989</v>
      </c>
      <c r="F14" s="40">
        <f t="shared" ref="F14" si="0">SUM(F7:F13)</f>
        <v>103.5</v>
      </c>
      <c r="G14" s="40">
        <f t="shared" ref="G14" si="1">SUM(G7:G13)</f>
        <v>90</v>
      </c>
      <c r="H14" s="40">
        <f t="shared" ref="H14" si="2">SUM(H7:H13)</f>
        <v>75.3</v>
      </c>
      <c r="I14" s="40">
        <f t="shared" ref="I14:J14" si="3">SUM(I7:I13)</f>
        <v>108.74489130789323</v>
      </c>
      <c r="J14" s="40">
        <f t="shared" si="3"/>
        <v>181.90641788630489</v>
      </c>
    </row>
    <row r="15" spans="3:10" ht="14.5" customHeight="1" x14ac:dyDescent="0.35">
      <c r="E15" s="31"/>
      <c r="F15" s="31"/>
      <c r="G15" s="31"/>
      <c r="H15" s="31"/>
      <c r="I15" s="31"/>
      <c r="J15" s="31"/>
    </row>
    <row r="16" spans="3:10" ht="14.5" customHeight="1" x14ac:dyDescent="0.35">
      <c r="C16" s="10" t="s">
        <v>203</v>
      </c>
      <c r="D16" s="14"/>
      <c r="E16" s="25"/>
      <c r="F16" s="25"/>
      <c r="G16" s="25"/>
      <c r="H16" s="25"/>
      <c r="I16" s="28"/>
      <c r="J16" s="28"/>
    </row>
    <row r="17" spans="3:10" ht="6" customHeight="1" x14ac:dyDescent="0.35">
      <c r="E17" s="31"/>
      <c r="F17" s="31"/>
      <c r="G17" s="31"/>
      <c r="H17" s="31"/>
      <c r="I17" s="31"/>
      <c r="J17" s="31"/>
    </row>
    <row r="18" spans="3:10" ht="14.5" customHeight="1" x14ac:dyDescent="0.35">
      <c r="C18" s="14" t="s">
        <v>170</v>
      </c>
      <c r="E18" s="79"/>
      <c r="F18" s="79"/>
      <c r="G18" s="79"/>
      <c r="H18" s="79"/>
      <c r="I18" s="31">
        <v>33.654002829820456</v>
      </c>
      <c r="J18" s="31">
        <v>115.33708092851235</v>
      </c>
    </row>
    <row r="19" spans="3:10" ht="14.5" customHeight="1" x14ac:dyDescent="0.35">
      <c r="C19" s="14" t="s">
        <v>172</v>
      </c>
      <c r="E19" s="31">
        <v>71.3</v>
      </c>
      <c r="F19" s="31">
        <v>95.4</v>
      </c>
      <c r="G19" s="31">
        <v>89.5</v>
      </c>
      <c r="H19" s="31">
        <v>77.900000000000006</v>
      </c>
      <c r="I19" s="31">
        <v>76.001774448087417</v>
      </c>
      <c r="J19" s="31">
        <v>77.53043222099447</v>
      </c>
    </row>
    <row r="20" spans="3:10" ht="14.5" customHeight="1" x14ac:dyDescent="0.35">
      <c r="C20" s="14" t="s">
        <v>168</v>
      </c>
      <c r="E20" s="79"/>
      <c r="F20" s="79"/>
      <c r="G20" s="79"/>
      <c r="H20" s="79"/>
      <c r="I20" s="31">
        <v>3.3310449355971903</v>
      </c>
      <c r="J20" s="31">
        <v>9.9790427252979637</v>
      </c>
    </row>
    <row r="21" spans="3:10" ht="14.5" customHeight="1" x14ac:dyDescent="0.35">
      <c r="C21" s="14" t="s">
        <v>167</v>
      </c>
      <c r="E21" s="79"/>
      <c r="F21" s="79"/>
      <c r="G21" s="79"/>
      <c r="H21" s="79"/>
      <c r="I21" s="31">
        <v>19.532318452380956</v>
      </c>
      <c r="J21" s="31">
        <v>69.321851039801487</v>
      </c>
    </row>
    <row r="22" spans="3:10" ht="14.5" customHeight="1" x14ac:dyDescent="0.35">
      <c r="C22" s="14" t="s">
        <v>169</v>
      </c>
      <c r="E22" s="79"/>
      <c r="F22" s="79"/>
      <c r="G22" s="79"/>
      <c r="H22" s="79"/>
      <c r="I22" s="31">
        <v>0.44484884855581575</v>
      </c>
      <c r="J22" s="31">
        <v>1.5328193655307427</v>
      </c>
    </row>
    <row r="23" spans="3:10" ht="14.5" customHeight="1" x14ac:dyDescent="0.35">
      <c r="C23" s="14" t="s">
        <v>182</v>
      </c>
      <c r="E23" s="79"/>
      <c r="F23" s="79"/>
      <c r="G23" s="79"/>
      <c r="H23" s="79"/>
      <c r="I23" s="31">
        <v>10.081377049180329</v>
      </c>
      <c r="J23" s="31">
        <v>27.655274210079682</v>
      </c>
    </row>
    <row r="24" spans="3:10" ht="14.5" customHeight="1" thickBot="1" x14ac:dyDescent="0.4">
      <c r="C24" s="14" t="s">
        <v>171</v>
      </c>
      <c r="E24" s="31">
        <v>7.95</v>
      </c>
      <c r="F24" s="31">
        <v>9.3000000000000007</v>
      </c>
      <c r="G24" s="31">
        <v>7</v>
      </c>
      <c r="H24" s="31">
        <v>5.5</v>
      </c>
      <c r="I24" s="31">
        <v>6.1188753928495005</v>
      </c>
      <c r="J24" s="31">
        <v>4.6712554899119283</v>
      </c>
    </row>
    <row r="25" spans="3:10" ht="14.5" customHeight="1" thickBot="1" x14ac:dyDescent="0.4">
      <c r="C25" s="16" t="s">
        <v>173</v>
      </c>
      <c r="E25" s="40">
        <f>SUM(E18:E24)</f>
        <v>79.25</v>
      </c>
      <c r="F25" s="40">
        <f t="shared" ref="F25" si="4">SUM(F18:F24)</f>
        <v>104.7</v>
      </c>
      <c r="G25" s="40">
        <f t="shared" ref="G25" si="5">SUM(G18:G24)</f>
        <v>96.5</v>
      </c>
      <c r="H25" s="40">
        <f t="shared" ref="H25" si="6">SUM(H18:H24)</f>
        <v>83.4</v>
      </c>
      <c r="I25" s="40">
        <f t="shared" ref="I25:J25" si="7">SUM(I18:I24)</f>
        <v>149.16424195647167</v>
      </c>
      <c r="J25" s="40">
        <f t="shared" si="7"/>
        <v>306.02775598012863</v>
      </c>
    </row>
    <row r="26" spans="3:10" ht="14.5" customHeight="1" x14ac:dyDescent="0.35">
      <c r="E26" s="31"/>
      <c r="F26" s="31"/>
      <c r="G26" s="31"/>
      <c r="H26" s="31"/>
      <c r="I26" s="31"/>
      <c r="J26" s="31"/>
    </row>
    <row r="27" spans="3:10" ht="14.5" customHeight="1" x14ac:dyDescent="0.35">
      <c r="C27" s="10" t="s">
        <v>204</v>
      </c>
      <c r="D27" s="14"/>
      <c r="E27" s="25"/>
      <c r="F27" s="25"/>
      <c r="G27" s="25"/>
      <c r="H27" s="25"/>
      <c r="I27" s="28"/>
      <c r="J27" s="28"/>
    </row>
    <row r="28" spans="3:10" ht="4.5" customHeight="1" x14ac:dyDescent="0.35">
      <c r="C28" s="12"/>
      <c r="D28" s="14"/>
      <c r="E28" s="34"/>
      <c r="F28" s="34"/>
      <c r="G28" s="34"/>
      <c r="H28" s="34"/>
      <c r="I28" s="35"/>
      <c r="J28" s="35"/>
    </row>
    <row r="29" spans="3:10" x14ac:dyDescent="0.35">
      <c r="C29" s="14" t="s">
        <v>170</v>
      </c>
      <c r="E29" s="79"/>
      <c r="F29" s="79"/>
      <c r="G29" s="79"/>
      <c r="H29" s="79"/>
      <c r="I29" s="31">
        <v>52</v>
      </c>
      <c r="J29" s="31">
        <v>172.99344004453445</v>
      </c>
    </row>
    <row r="30" spans="3:10" x14ac:dyDescent="0.35">
      <c r="C30" s="14" t="s">
        <v>172</v>
      </c>
      <c r="E30" s="31">
        <f>SUM(E8,E19)</f>
        <v>163.89999999999998</v>
      </c>
      <c r="F30" s="31">
        <f>SUM(F8,F19)</f>
        <v>195.2</v>
      </c>
      <c r="G30" s="31">
        <f>SUM(G8,G19)</f>
        <v>175.5</v>
      </c>
      <c r="H30" s="31">
        <f>SUM(H8,H19)</f>
        <v>148.9</v>
      </c>
      <c r="I30" s="31">
        <v>149</v>
      </c>
      <c r="J30" s="31">
        <v>160.73140533149171</v>
      </c>
    </row>
    <row r="31" spans="3:10" ht="14.5" customHeight="1" x14ac:dyDescent="0.35">
      <c r="C31" s="14" t="s">
        <v>168</v>
      </c>
      <c r="E31" s="79"/>
      <c r="F31" s="79"/>
      <c r="G31" s="79"/>
      <c r="H31" s="79"/>
      <c r="I31" s="31">
        <v>10</v>
      </c>
      <c r="J31" s="31">
        <v>28.795368692148791</v>
      </c>
    </row>
    <row r="32" spans="3:10" x14ac:dyDescent="0.35">
      <c r="C32" s="14" t="s">
        <v>167</v>
      </c>
      <c r="E32" s="79"/>
      <c r="F32" s="79"/>
      <c r="G32" s="79"/>
      <c r="H32" s="79"/>
      <c r="I32" s="31">
        <v>21</v>
      </c>
      <c r="J32" s="31">
        <v>74.577121758033527</v>
      </c>
    </row>
    <row r="33" spans="3:10" x14ac:dyDescent="0.35">
      <c r="C33" s="14" t="s">
        <v>169</v>
      </c>
      <c r="E33" s="79"/>
      <c r="F33" s="79"/>
      <c r="G33" s="79"/>
      <c r="H33" s="79"/>
      <c r="I33" s="31">
        <v>4</v>
      </c>
      <c r="J33" s="31">
        <v>10.166490636248975</v>
      </c>
    </row>
    <row r="34" spans="3:10" x14ac:dyDescent="0.35">
      <c r="C34" s="14" t="s">
        <v>182</v>
      </c>
      <c r="E34" s="79"/>
      <c r="F34" s="79"/>
      <c r="G34" s="79"/>
      <c r="H34" s="79"/>
      <c r="I34" s="31">
        <v>12</v>
      </c>
      <c r="J34" s="31">
        <v>32.061036641018916</v>
      </c>
    </row>
    <row r="35" spans="3:10" ht="15" thickBot="1" x14ac:dyDescent="0.4">
      <c r="C35" s="14" t="s">
        <v>171</v>
      </c>
      <c r="E35" s="31">
        <f>SUM(E13,E24)</f>
        <v>11.55</v>
      </c>
      <c r="F35" s="31">
        <f>SUM(F13,F24)</f>
        <v>13</v>
      </c>
      <c r="G35" s="31">
        <f>SUM(G13,G24)</f>
        <v>11</v>
      </c>
      <c r="H35" s="31">
        <f>SUM(H13,H24)</f>
        <v>9.8000000000000007</v>
      </c>
      <c r="I35" s="31">
        <v>11</v>
      </c>
      <c r="J35" s="31">
        <v>8.6093107629571328</v>
      </c>
    </row>
    <row r="36" spans="3:10" ht="15" thickBot="1" x14ac:dyDescent="0.4">
      <c r="C36" s="16" t="s">
        <v>173</v>
      </c>
      <c r="E36" s="40">
        <f>SUM(E29:E35)</f>
        <v>175.45</v>
      </c>
      <c r="F36" s="40">
        <f t="shared" ref="F36:J36" si="8">SUM(F29:F35)</f>
        <v>208.2</v>
      </c>
      <c r="G36" s="40">
        <f t="shared" si="8"/>
        <v>186.5</v>
      </c>
      <c r="H36" s="40">
        <f t="shared" si="8"/>
        <v>158.70000000000002</v>
      </c>
      <c r="I36" s="40">
        <f t="shared" si="8"/>
        <v>259</v>
      </c>
      <c r="J36" s="40">
        <f t="shared" si="8"/>
        <v>487.93417386643347</v>
      </c>
    </row>
    <row r="37" spans="3:10" x14ac:dyDescent="0.35">
      <c r="E37" s="31"/>
      <c r="F37" s="31"/>
      <c r="G37" s="31"/>
      <c r="H37" s="31"/>
      <c r="I37" s="31"/>
      <c r="J37" s="31"/>
    </row>
    <row r="38" spans="3:10" x14ac:dyDescent="0.35">
      <c r="C38" s="10" t="s">
        <v>185</v>
      </c>
      <c r="D38" s="14"/>
      <c r="E38" s="25"/>
      <c r="F38" s="25"/>
      <c r="G38" s="25"/>
      <c r="H38" s="25"/>
      <c r="I38" s="28"/>
      <c r="J38" s="28"/>
    </row>
    <row r="39" spans="3:10" ht="5.25" customHeight="1" x14ac:dyDescent="0.35">
      <c r="C39" s="12"/>
      <c r="D39" s="14"/>
      <c r="E39" s="34"/>
      <c r="F39" s="34"/>
      <c r="G39" s="34"/>
      <c r="H39" s="34"/>
      <c r="I39" s="35"/>
      <c r="J39" s="35"/>
    </row>
    <row r="40" spans="3:10" ht="15" customHeight="1" x14ac:dyDescent="0.35">
      <c r="C40" s="14" t="s">
        <v>183</v>
      </c>
      <c r="D40" s="14"/>
      <c r="E40" s="67">
        <v>0.49</v>
      </c>
      <c r="F40" s="67">
        <v>0.44</v>
      </c>
      <c r="G40" s="67">
        <v>0.43</v>
      </c>
      <c r="H40" s="67">
        <v>0.41</v>
      </c>
      <c r="I40" s="67">
        <v>0.35</v>
      </c>
      <c r="J40" s="67">
        <v>0.3</v>
      </c>
    </row>
    <row r="41" spans="3:10" ht="15" customHeight="1" x14ac:dyDescent="0.35">
      <c r="C41" s="14" t="s">
        <v>184</v>
      </c>
      <c r="D41" s="14"/>
      <c r="E41" s="67">
        <v>0.06</v>
      </c>
      <c r="F41" s="67">
        <v>0.05</v>
      </c>
      <c r="G41" s="67">
        <v>0.05</v>
      </c>
      <c r="H41" s="67">
        <v>0.06</v>
      </c>
      <c r="I41" s="67">
        <v>7.0000000000000007E-2</v>
      </c>
      <c r="J41" s="67">
        <v>7.0000000000000007E-2</v>
      </c>
    </row>
    <row r="42" spans="3:10" x14ac:dyDescent="0.35">
      <c r="C42" s="14" t="s">
        <v>186</v>
      </c>
      <c r="E42" s="67">
        <v>0.55000000000000004</v>
      </c>
      <c r="F42" s="67">
        <v>0.5</v>
      </c>
      <c r="G42" s="67">
        <v>0.48</v>
      </c>
      <c r="H42" s="67">
        <v>0.47</v>
      </c>
      <c r="I42" s="67">
        <v>0.42</v>
      </c>
      <c r="J42" s="67">
        <v>0.37</v>
      </c>
    </row>
    <row r="43" spans="3:10" x14ac:dyDescent="0.35">
      <c r="C43" s="14" t="s">
        <v>7</v>
      </c>
      <c r="E43" s="67">
        <v>0.45</v>
      </c>
      <c r="F43" s="67">
        <v>0.5</v>
      </c>
      <c r="G43" s="67">
        <v>0.52</v>
      </c>
      <c r="H43" s="67">
        <v>0.53</v>
      </c>
      <c r="I43" s="67">
        <v>0.57999999999999996</v>
      </c>
      <c r="J43" s="67">
        <v>0.63</v>
      </c>
    </row>
    <row r="44" spans="3:10" x14ac:dyDescent="0.35">
      <c r="E44" s="31"/>
      <c r="F44" s="31"/>
      <c r="G44" s="31"/>
      <c r="H44" s="31"/>
      <c r="I44" s="31"/>
      <c r="J44" s="31"/>
    </row>
    <row r="45" spans="3:10" x14ac:dyDescent="0.35">
      <c r="E45" s="31"/>
      <c r="F45" s="31"/>
      <c r="G45" s="31"/>
      <c r="H45" s="31"/>
      <c r="I45" s="31"/>
      <c r="J45" s="31"/>
    </row>
    <row r="46" spans="3:10" x14ac:dyDescent="0.35">
      <c r="C46" s="9" t="s">
        <v>175</v>
      </c>
      <c r="D46" s="14"/>
      <c r="E46" s="66">
        <v>2021</v>
      </c>
      <c r="F46" s="66">
        <v>2022</v>
      </c>
      <c r="G46" s="66">
        <v>2023</v>
      </c>
      <c r="H46" s="66" t="s">
        <v>176</v>
      </c>
      <c r="I46" s="66">
        <v>2024</v>
      </c>
      <c r="J46" s="66" t="s">
        <v>181</v>
      </c>
    </row>
    <row r="47" spans="3:10" ht="7.5" customHeight="1" x14ac:dyDescent="0.35">
      <c r="E47" s="31"/>
      <c r="F47" s="31"/>
      <c r="G47" s="31"/>
      <c r="H47" s="31"/>
      <c r="I47" s="31"/>
      <c r="J47" s="31"/>
    </row>
    <row r="48" spans="3:10" x14ac:dyDescent="0.35">
      <c r="C48" s="10" t="s">
        <v>187</v>
      </c>
      <c r="D48" s="14"/>
      <c r="E48" s="25"/>
      <c r="F48" s="25"/>
      <c r="G48" s="25"/>
      <c r="H48" s="25"/>
      <c r="I48" s="28"/>
      <c r="J48" s="28"/>
    </row>
    <row r="49" spans="3:10" ht="6.75" customHeight="1" x14ac:dyDescent="0.35">
      <c r="E49" s="31"/>
      <c r="F49" s="31"/>
      <c r="G49" s="31"/>
      <c r="H49" s="31"/>
      <c r="I49" s="31"/>
      <c r="J49" s="31"/>
    </row>
    <row r="50" spans="3:10" x14ac:dyDescent="0.35">
      <c r="C50" s="14" t="s">
        <v>170</v>
      </c>
      <c r="E50" s="79"/>
      <c r="F50" s="79"/>
      <c r="G50" s="79"/>
      <c r="H50" s="79"/>
      <c r="I50" s="31">
        <v>235.03649220828191</v>
      </c>
      <c r="J50" s="31">
        <v>364</v>
      </c>
    </row>
    <row r="51" spans="3:10" x14ac:dyDescent="0.35">
      <c r="C51" s="14" t="s">
        <v>172</v>
      </c>
      <c r="E51" s="79"/>
      <c r="F51" s="79"/>
      <c r="G51" s="31">
        <v>1007.4</v>
      </c>
      <c r="H51" s="31">
        <v>503</v>
      </c>
      <c r="I51" s="31">
        <v>1083.8535664799997</v>
      </c>
      <c r="J51" s="31">
        <v>484</v>
      </c>
    </row>
    <row r="52" spans="3:10" x14ac:dyDescent="0.35">
      <c r="C52" s="14" t="s">
        <v>168</v>
      </c>
      <c r="E52" s="79"/>
      <c r="F52" s="79"/>
      <c r="G52" s="79"/>
      <c r="H52" s="79"/>
      <c r="I52" s="31">
        <v>73.788202999944929</v>
      </c>
      <c r="J52" s="31">
        <v>94.550542230000005</v>
      </c>
    </row>
    <row r="53" spans="3:10" x14ac:dyDescent="0.35">
      <c r="C53" s="14" t="s">
        <v>167</v>
      </c>
      <c r="E53" s="79"/>
      <c r="F53" s="79"/>
      <c r="G53" s="79"/>
      <c r="H53" s="79"/>
      <c r="I53" s="31">
        <v>36.972597497968877</v>
      </c>
      <c r="J53" s="31">
        <v>67.199921809999992</v>
      </c>
    </row>
    <row r="54" spans="3:10" x14ac:dyDescent="0.35">
      <c r="C54" s="14" t="s">
        <v>169</v>
      </c>
      <c r="E54" s="79"/>
      <c r="F54" s="79"/>
      <c r="G54" s="79"/>
      <c r="H54" s="79"/>
      <c r="I54" s="80">
        <v>17.387796831961136</v>
      </c>
      <c r="J54" s="31">
        <v>27.788085829999996</v>
      </c>
    </row>
    <row r="55" spans="3:10" x14ac:dyDescent="0.35">
      <c r="C55" s="14" t="s">
        <v>182</v>
      </c>
      <c r="E55" s="79"/>
      <c r="F55" s="79"/>
      <c r="G55" s="79"/>
      <c r="H55" s="79"/>
      <c r="I55" s="31">
        <v>23.118587951797394</v>
      </c>
      <c r="J55" s="31">
        <v>19.617099649999997</v>
      </c>
    </row>
    <row r="56" spans="3:10" x14ac:dyDescent="0.35">
      <c r="C56" s="14" t="s">
        <v>171</v>
      </c>
      <c r="E56" s="79"/>
      <c r="F56" s="79"/>
      <c r="G56" s="31">
        <v>77</v>
      </c>
      <c r="H56" s="31">
        <v>31</v>
      </c>
      <c r="I56" s="31">
        <v>78.839093396727748</v>
      </c>
      <c r="J56" s="31">
        <v>33.827863829999998</v>
      </c>
    </row>
    <row r="57" spans="3:10" ht="15" thickBot="1" x14ac:dyDescent="0.4">
      <c r="C57" s="14" t="s">
        <v>180</v>
      </c>
      <c r="E57" s="79"/>
      <c r="F57" s="79"/>
      <c r="G57" s="31">
        <v>31</v>
      </c>
      <c r="H57" s="31"/>
      <c r="I57" s="31">
        <v>6.4</v>
      </c>
      <c r="J57" s="31"/>
    </row>
    <row r="58" spans="3:10" ht="15" thickBot="1" x14ac:dyDescent="0.4">
      <c r="C58" s="16" t="s">
        <v>173</v>
      </c>
      <c r="E58" s="40">
        <v>976</v>
      </c>
      <c r="F58" s="40">
        <v>1058</v>
      </c>
      <c r="G58" s="40">
        <v>1115</v>
      </c>
      <c r="H58" s="85">
        <f>SUM(H50:H57)</f>
        <v>534</v>
      </c>
      <c r="I58" s="85">
        <f>SUM(I50:I57)</f>
        <v>1555.3963373666818</v>
      </c>
      <c r="J58" s="85">
        <f>SUM(J50:J57)</f>
        <v>1090.9835133500001</v>
      </c>
    </row>
    <row r="59" spans="3:10" x14ac:dyDescent="0.35">
      <c r="E59" s="31"/>
      <c r="F59" s="31"/>
      <c r="G59" s="31"/>
      <c r="H59" s="31"/>
      <c r="I59" s="31"/>
      <c r="J59" s="31"/>
    </row>
    <row r="60" spans="3:10" x14ac:dyDescent="0.35">
      <c r="C60" s="10" t="s">
        <v>188</v>
      </c>
      <c r="D60" s="14"/>
      <c r="E60" s="25"/>
      <c r="F60" s="25"/>
      <c r="G60" s="25"/>
      <c r="H60" s="25"/>
      <c r="I60" s="28"/>
      <c r="J60" s="28"/>
    </row>
    <row r="61" spans="3:10" ht="7.5" customHeight="1" x14ac:dyDescent="0.35">
      <c r="E61" s="31"/>
      <c r="F61" s="31"/>
      <c r="G61" s="31"/>
      <c r="H61" s="31"/>
      <c r="I61" s="31"/>
      <c r="J61" s="31"/>
    </row>
    <row r="62" spans="3:10" x14ac:dyDescent="0.35">
      <c r="C62" s="14" t="s">
        <v>170</v>
      </c>
      <c r="E62" s="79"/>
      <c r="F62" s="79"/>
      <c r="G62" s="79"/>
      <c r="H62" s="79"/>
      <c r="I62" s="81">
        <f>I50/(I29*0.366)</f>
        <v>12.349542465756722</v>
      </c>
      <c r="J62" s="81">
        <f>J50/(J29*0.181)</f>
        <v>11.625005683679063</v>
      </c>
    </row>
    <row r="63" spans="3:10" x14ac:dyDescent="0.35">
      <c r="C63" s="14" t="s">
        <v>172</v>
      </c>
      <c r="E63" s="79"/>
      <c r="F63" s="79"/>
      <c r="G63" s="81">
        <f>G51/(G30*0.365)</f>
        <v>15.726495726495726</v>
      </c>
      <c r="H63" s="81">
        <f>H51/(H30*0.365)</f>
        <v>9.2550852369430618</v>
      </c>
      <c r="I63" s="81">
        <f>I51/(I30*0.366)</f>
        <v>19.874822431510612</v>
      </c>
      <c r="J63" s="81">
        <f t="shared" ref="J63:J68" si="9">J51/(J30*0.181)</f>
        <v>16.636656312786894</v>
      </c>
    </row>
    <row r="64" spans="3:10" x14ac:dyDescent="0.35">
      <c r="C64" s="14" t="s">
        <v>168</v>
      </c>
      <c r="E64" s="79"/>
      <c r="F64" s="79"/>
      <c r="G64" s="79"/>
      <c r="H64" s="79"/>
      <c r="I64" s="81">
        <f t="shared" ref="I64:I68" si="10">I52/(I31*0.366)</f>
        <v>20.160711202170745</v>
      </c>
      <c r="J64" s="81">
        <f t="shared" si="9"/>
        <v>18.141066083867177</v>
      </c>
    </row>
    <row r="65" spans="3:16" x14ac:dyDescent="0.35">
      <c r="C65" s="14" t="s">
        <v>167</v>
      </c>
      <c r="E65" s="79"/>
      <c r="F65" s="79"/>
      <c r="G65" s="79"/>
      <c r="H65" s="79"/>
      <c r="I65" s="81">
        <f t="shared" si="10"/>
        <v>4.8103821881302204</v>
      </c>
      <c r="J65" s="81">
        <f t="shared" si="9"/>
        <v>4.9783402401568315</v>
      </c>
    </row>
    <row r="66" spans="3:16" x14ac:dyDescent="0.35">
      <c r="C66" s="14" t="s">
        <v>169</v>
      </c>
      <c r="E66" s="79"/>
      <c r="F66" s="79"/>
      <c r="G66" s="79"/>
      <c r="H66" s="79"/>
      <c r="I66" s="81">
        <f t="shared" si="10"/>
        <v>11.876910404345038</v>
      </c>
      <c r="J66" s="81">
        <f t="shared" si="9"/>
        <v>15.101114196667643</v>
      </c>
    </row>
    <row r="67" spans="3:16" x14ac:dyDescent="0.35">
      <c r="C67" s="14" t="s">
        <v>182</v>
      </c>
      <c r="E67" s="79"/>
      <c r="F67" s="79"/>
      <c r="G67" s="79"/>
      <c r="H67" s="79"/>
      <c r="I67" s="81">
        <f t="shared" si="10"/>
        <v>5.2637950709921215</v>
      </c>
      <c r="J67" s="81">
        <f t="shared" si="9"/>
        <v>3.380482273097674</v>
      </c>
    </row>
    <row r="68" spans="3:16" ht="15" thickBot="1" x14ac:dyDescent="0.4">
      <c r="C68" s="14" t="s">
        <v>171</v>
      </c>
      <c r="E68" s="79"/>
      <c r="F68" s="79"/>
      <c r="G68" s="81">
        <f>G56/(G35*0.365)</f>
        <v>19.178082191780824</v>
      </c>
      <c r="H68" s="81">
        <f>H56/(H35*0.365)</f>
        <v>8.6664802907464349</v>
      </c>
      <c r="I68" s="81">
        <f t="shared" si="10"/>
        <v>19.582487182495715</v>
      </c>
      <c r="J68" s="81">
        <f t="shared" si="9"/>
        <v>21.708389957069318</v>
      </c>
    </row>
    <row r="69" spans="3:16" ht="15" thickBot="1" x14ac:dyDescent="0.4">
      <c r="C69" s="16" t="s">
        <v>180</v>
      </c>
      <c r="E69" s="68">
        <f>E58/(E36*0.365)</f>
        <v>15.240653193158884</v>
      </c>
      <c r="F69" s="68">
        <f>F58/(F36*0.365)</f>
        <v>13.922334951903466</v>
      </c>
      <c r="G69" s="68">
        <f>G58/(G36*0.365)</f>
        <v>16.379595284439382</v>
      </c>
      <c r="H69" s="106">
        <f>H58/(H36*0.182)</f>
        <v>18.488128128959886</v>
      </c>
      <c r="I69" s="68">
        <f>I58/(I36*0.366)</f>
        <v>16.408172852360718</v>
      </c>
      <c r="J69" s="68">
        <f>J58/(J36*0.181)</f>
        <v>12.35316882022317</v>
      </c>
    </row>
    <row r="72" spans="3:16" x14ac:dyDescent="0.35">
      <c r="C72" s="9" t="s">
        <v>241</v>
      </c>
      <c r="D72" s="14"/>
      <c r="E72" s="66">
        <v>2021</v>
      </c>
      <c r="F72" s="66">
        <v>2022</v>
      </c>
      <c r="G72" s="66">
        <v>2023</v>
      </c>
      <c r="H72" s="66" t="s">
        <v>176</v>
      </c>
      <c r="I72" s="66">
        <v>2024</v>
      </c>
      <c r="J72" s="66" t="s">
        <v>181</v>
      </c>
    </row>
    <row r="73" spans="3:16" ht="4.5" customHeight="1" x14ac:dyDescent="0.35">
      <c r="E73" s="31"/>
      <c r="F73" s="31"/>
      <c r="G73" s="31"/>
      <c r="H73" s="31"/>
      <c r="I73" s="31"/>
      <c r="J73" s="31"/>
    </row>
    <row r="74" spans="3:16" x14ac:dyDescent="0.35">
      <c r="C74" s="10" t="s">
        <v>194</v>
      </c>
      <c r="D74" s="14"/>
      <c r="E74" s="25"/>
      <c r="F74" s="25"/>
      <c r="G74" s="25"/>
      <c r="H74" s="25"/>
      <c r="I74" s="28"/>
      <c r="J74" s="28"/>
    </row>
    <row r="75" spans="3:16" ht="7.5" customHeight="1" x14ac:dyDescent="0.35">
      <c r="E75" s="31"/>
      <c r="F75" s="31"/>
      <c r="G75" s="31"/>
      <c r="H75" s="31"/>
      <c r="I75" s="31"/>
      <c r="J75" s="31"/>
    </row>
    <row r="76" spans="3:16" x14ac:dyDescent="0.35">
      <c r="C76" s="14" t="s">
        <v>170</v>
      </c>
      <c r="E76" s="79"/>
      <c r="F76" s="79"/>
      <c r="G76" s="31">
        <v>24</v>
      </c>
      <c r="H76" s="31">
        <v>36.1</v>
      </c>
      <c r="I76" s="31">
        <v>374</v>
      </c>
      <c r="J76" s="31">
        <v>393.96253608999996</v>
      </c>
    </row>
    <row r="77" spans="3:16" x14ac:dyDescent="0.35">
      <c r="C77" s="14" t="s">
        <v>172</v>
      </c>
      <c r="E77" s="80">
        <v>640.70000000000005</v>
      </c>
      <c r="F77" s="31">
        <f>576.2</f>
        <v>576.20000000000005</v>
      </c>
      <c r="G77" s="31">
        <v>575</v>
      </c>
      <c r="H77" s="31">
        <v>320</v>
      </c>
      <c r="I77" s="31">
        <v>698</v>
      </c>
      <c r="J77" s="31">
        <v>245.11575308999997</v>
      </c>
      <c r="P77" s="63"/>
    </row>
    <row r="78" spans="3:16" x14ac:dyDescent="0.35">
      <c r="C78" s="14" t="s">
        <v>168</v>
      </c>
      <c r="E78" s="79"/>
      <c r="F78" s="79"/>
      <c r="G78" s="79"/>
      <c r="H78" s="79"/>
      <c r="I78" s="31">
        <v>59</v>
      </c>
      <c r="J78" s="31">
        <v>48.155442130000004</v>
      </c>
    </row>
    <row r="79" spans="3:16" x14ac:dyDescent="0.35">
      <c r="C79" s="14" t="s">
        <v>167</v>
      </c>
      <c r="E79" s="79"/>
      <c r="F79" s="79"/>
      <c r="G79" s="79"/>
      <c r="H79" s="79"/>
      <c r="I79" s="31">
        <v>61</v>
      </c>
      <c r="J79" s="31">
        <v>82.173562319999988</v>
      </c>
    </row>
    <row r="80" spans="3:16" x14ac:dyDescent="0.35">
      <c r="C80" s="14" t="s">
        <v>169</v>
      </c>
      <c r="E80" s="79"/>
      <c r="F80" s="79"/>
      <c r="G80" s="31">
        <v>44</v>
      </c>
      <c r="H80" s="31">
        <v>8.1999999999999993</v>
      </c>
      <c r="I80" s="31">
        <v>110</v>
      </c>
      <c r="J80" s="31">
        <v>43.666156719999996</v>
      </c>
    </row>
    <row r="81" spans="3:10" x14ac:dyDescent="0.35">
      <c r="C81" s="14" t="s">
        <v>182</v>
      </c>
      <c r="E81" s="79"/>
      <c r="F81" s="79"/>
      <c r="G81" s="79"/>
      <c r="H81" s="79"/>
      <c r="I81" s="31">
        <v>46</v>
      </c>
      <c r="J81" s="31">
        <v>46.010388469999995</v>
      </c>
    </row>
    <row r="82" spans="3:10" x14ac:dyDescent="0.35">
      <c r="C82" s="14" t="s">
        <v>171</v>
      </c>
      <c r="E82" s="79"/>
      <c r="F82" s="79"/>
      <c r="G82" s="31">
        <v>67</v>
      </c>
      <c r="H82" s="31">
        <v>59.5</v>
      </c>
      <c r="I82" s="31">
        <v>93</v>
      </c>
      <c r="J82" s="31">
        <v>22.344645929999999</v>
      </c>
    </row>
    <row r="83" spans="3:10" x14ac:dyDescent="0.35">
      <c r="C83" s="14" t="s">
        <v>193</v>
      </c>
      <c r="E83" s="79"/>
      <c r="F83" s="79"/>
      <c r="G83" s="31"/>
      <c r="H83" s="31">
        <v>11.46</v>
      </c>
      <c r="I83" s="31">
        <v>33</v>
      </c>
      <c r="J83" s="59">
        <v>64.3</v>
      </c>
    </row>
    <row r="84" spans="3:10" x14ac:dyDescent="0.35">
      <c r="C84" s="14" t="s">
        <v>195</v>
      </c>
      <c r="E84" s="59">
        <v>0</v>
      </c>
      <c r="F84" s="59">
        <v>0</v>
      </c>
      <c r="G84" s="31">
        <v>11</v>
      </c>
      <c r="H84" s="31">
        <v>14.95</v>
      </c>
      <c r="I84" s="31">
        <v>70</v>
      </c>
      <c r="J84" s="31">
        <v>16.407673609999996</v>
      </c>
    </row>
    <row r="85" spans="3:10" ht="15" thickBot="1" x14ac:dyDescent="0.4">
      <c r="C85" s="14" t="s">
        <v>217</v>
      </c>
      <c r="E85" s="31">
        <v>68.400000000000006</v>
      </c>
      <c r="F85" s="31">
        <f>108.6</f>
        <v>108.6</v>
      </c>
      <c r="G85" s="79"/>
      <c r="H85" s="79"/>
      <c r="I85" s="79"/>
      <c r="J85" s="79"/>
    </row>
    <row r="86" spans="3:10" ht="15" thickBot="1" x14ac:dyDescent="0.4">
      <c r="C86" s="16" t="s">
        <v>216</v>
      </c>
      <c r="E86" s="40">
        <f>SUM(E76:E85)</f>
        <v>709.1</v>
      </c>
      <c r="F86" s="40">
        <f>SUM(F76:F85)</f>
        <v>684.80000000000007</v>
      </c>
      <c r="G86" s="40">
        <f>SUM(G76:G84)</f>
        <v>721</v>
      </c>
      <c r="H86" s="40">
        <f>SUM(H76:H84)</f>
        <v>450.21</v>
      </c>
      <c r="I86" s="40">
        <f t="shared" ref="I86:J86" si="11">SUM(I76:I84)</f>
        <v>1544</v>
      </c>
      <c r="J86" s="40">
        <f t="shared" si="11"/>
        <v>962.13615835999974</v>
      </c>
    </row>
    <row r="87" spans="3:10" ht="15" thickBot="1" x14ac:dyDescent="0.4">
      <c r="C87" s="14" t="s">
        <v>191</v>
      </c>
      <c r="E87" s="31">
        <v>226</v>
      </c>
      <c r="F87" s="31">
        <v>223</v>
      </c>
      <c r="G87" s="31">
        <v>268</v>
      </c>
      <c r="H87" s="31">
        <v>139</v>
      </c>
      <c r="I87" s="31">
        <v>284</v>
      </c>
      <c r="J87" s="59">
        <v>160.30000000000001</v>
      </c>
    </row>
    <row r="88" spans="3:10" ht="15" thickBot="1" x14ac:dyDescent="0.4">
      <c r="C88" s="16" t="s">
        <v>196</v>
      </c>
      <c r="E88" s="40">
        <f t="shared" ref="E88:J88" si="12">SUM(E86:E87)</f>
        <v>935.1</v>
      </c>
      <c r="F88" s="40">
        <f t="shared" si="12"/>
        <v>907.80000000000007</v>
      </c>
      <c r="G88" s="40">
        <f t="shared" si="12"/>
        <v>989</v>
      </c>
      <c r="H88" s="40">
        <f t="shared" si="12"/>
        <v>589.21</v>
      </c>
      <c r="I88" s="40">
        <f t="shared" si="12"/>
        <v>1828</v>
      </c>
      <c r="J88" s="85">
        <f>SUM(J86:J87)</f>
        <v>1122.4361583599998</v>
      </c>
    </row>
    <row r="89" spans="3:10" x14ac:dyDescent="0.35">
      <c r="E89" s="31"/>
      <c r="F89" s="31"/>
      <c r="G89" s="31"/>
      <c r="H89" s="31"/>
      <c r="I89" s="31"/>
      <c r="J89" s="31"/>
    </row>
    <row r="90" spans="3:10" x14ac:dyDescent="0.35">
      <c r="C90" s="10" t="s">
        <v>189</v>
      </c>
      <c r="D90" s="14"/>
      <c r="E90" s="25"/>
      <c r="F90" s="25"/>
      <c r="G90" s="25"/>
      <c r="H90" s="25"/>
      <c r="I90" s="28"/>
      <c r="J90" s="28"/>
    </row>
    <row r="91" spans="3:10" ht="6" customHeight="1" x14ac:dyDescent="0.35">
      <c r="E91" s="31"/>
      <c r="F91" s="31"/>
      <c r="G91" s="31"/>
      <c r="H91" s="31"/>
      <c r="I91" s="31"/>
      <c r="J91" s="31"/>
    </row>
    <row r="92" spans="3:10" x14ac:dyDescent="0.35">
      <c r="C92" s="14" t="s">
        <v>192</v>
      </c>
      <c r="E92" s="31">
        <v>499</v>
      </c>
      <c r="F92" s="31">
        <v>573</v>
      </c>
      <c r="G92">
        <v>511</v>
      </c>
      <c r="H92" s="31">
        <v>334</v>
      </c>
      <c r="I92" s="31">
        <v>1146</v>
      </c>
      <c r="J92" s="31">
        <v>793</v>
      </c>
    </row>
    <row r="93" spans="3:10" x14ac:dyDescent="0.35">
      <c r="C93" s="14" t="s">
        <v>190</v>
      </c>
      <c r="E93" s="31">
        <v>210</v>
      </c>
      <c r="F93" s="31">
        <v>111</v>
      </c>
      <c r="G93">
        <v>210</v>
      </c>
      <c r="H93" s="31">
        <v>116</v>
      </c>
      <c r="I93" s="31">
        <v>398</v>
      </c>
      <c r="J93" s="59">
        <v>169.4</v>
      </c>
    </row>
    <row r="94" spans="3:10" ht="15" thickBot="1" x14ac:dyDescent="0.4">
      <c r="C94" s="14" t="s">
        <v>191</v>
      </c>
      <c r="E94" s="31">
        <v>226</v>
      </c>
      <c r="F94" s="31">
        <v>223</v>
      </c>
      <c r="G94" s="31">
        <v>268</v>
      </c>
      <c r="H94" s="31">
        <v>139</v>
      </c>
      <c r="I94" s="31">
        <v>284</v>
      </c>
      <c r="J94" s="59">
        <v>160</v>
      </c>
    </row>
    <row r="95" spans="3:10" ht="15" thickBot="1" x14ac:dyDescent="0.4">
      <c r="C95" s="16" t="s">
        <v>196</v>
      </c>
      <c r="E95" s="40">
        <f t="shared" ref="E95" si="13">SUM(E92:E94)</f>
        <v>935</v>
      </c>
      <c r="F95" s="40">
        <f>SUM(F92:F94)+1</f>
        <v>908</v>
      </c>
      <c r="G95" s="40">
        <f>SUM(G92:G94)</f>
        <v>989</v>
      </c>
      <c r="H95" s="40">
        <f>SUM(H92:H94)</f>
        <v>589</v>
      </c>
      <c r="I95" s="40">
        <f>SUM(I92:I94)</f>
        <v>1828</v>
      </c>
      <c r="J95" s="40">
        <f>SUM(J92:J94)</f>
        <v>1122.4000000000001</v>
      </c>
    </row>
    <row r="97" spans="3:9" x14ac:dyDescent="0.35">
      <c r="E97" s="32"/>
      <c r="F97" s="32"/>
      <c r="G97" s="32"/>
      <c r="H97" s="32"/>
      <c r="I97" s="32"/>
    </row>
    <row r="99" spans="3:9" x14ac:dyDescent="0.35">
      <c r="C99" t="s">
        <v>273</v>
      </c>
    </row>
    <row r="100" spans="3:9" x14ac:dyDescent="0.35">
      <c r="C100" t="s">
        <v>242</v>
      </c>
    </row>
    <row r="101" spans="3:9" x14ac:dyDescent="0.35">
      <c r="C101" t="s">
        <v>218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25C8-E941-41CD-B91F-5427DA8037E7}">
  <dimension ref="C4:I68"/>
  <sheetViews>
    <sheetView showGridLines="0" workbookViewId="0">
      <selection activeCell="N59" sqref="N59"/>
    </sheetView>
  </sheetViews>
  <sheetFormatPr defaultRowHeight="14.5" x14ac:dyDescent="0.35"/>
  <cols>
    <col min="3" max="3" width="22.1796875" customWidth="1"/>
    <col min="4" max="4" width="28.81640625" customWidth="1"/>
    <col min="5" max="5" width="3.453125" customWidth="1"/>
    <col min="6" max="9" width="13.1796875" customWidth="1"/>
  </cols>
  <sheetData>
    <row r="4" spans="3:9" ht="14.5" customHeight="1" x14ac:dyDescent="0.35">
      <c r="C4" s="111" t="s">
        <v>215</v>
      </c>
      <c r="D4" s="111"/>
      <c r="E4" s="14"/>
      <c r="F4" s="66">
        <v>2021</v>
      </c>
      <c r="G4" s="66">
        <v>2022</v>
      </c>
      <c r="H4" s="66">
        <v>2023</v>
      </c>
      <c r="I4" s="66">
        <v>2024</v>
      </c>
    </row>
    <row r="5" spans="3:9" ht="6" customHeight="1" x14ac:dyDescent="0.35">
      <c r="F5" s="31"/>
      <c r="G5" s="31"/>
      <c r="H5" s="31"/>
      <c r="I5" s="31"/>
    </row>
    <row r="6" spans="3:9" x14ac:dyDescent="0.35">
      <c r="C6" s="10" t="s">
        <v>198</v>
      </c>
      <c r="D6" s="10"/>
      <c r="E6" s="14"/>
      <c r="F6" s="25"/>
      <c r="G6" s="25"/>
      <c r="H6" s="25"/>
      <c r="I6" s="28"/>
    </row>
    <row r="7" spans="3:9" ht="9" customHeight="1" x14ac:dyDescent="0.35">
      <c r="F7" s="31"/>
      <c r="G7" s="31"/>
      <c r="H7" s="31"/>
      <c r="I7" s="31"/>
    </row>
    <row r="8" spans="3:9" x14ac:dyDescent="0.35">
      <c r="C8" s="115" t="s">
        <v>167</v>
      </c>
      <c r="D8" s="14" t="s">
        <v>199</v>
      </c>
      <c r="F8" s="75"/>
      <c r="G8" s="75"/>
      <c r="H8" s="76"/>
      <c r="I8" s="71">
        <v>20</v>
      </c>
    </row>
    <row r="9" spans="3:9" x14ac:dyDescent="0.35">
      <c r="C9" s="115"/>
      <c r="D9" s="14" t="s">
        <v>7</v>
      </c>
      <c r="F9" s="75"/>
      <c r="G9" s="75"/>
      <c r="H9" s="76"/>
      <c r="I9" s="71">
        <v>236</v>
      </c>
    </row>
    <row r="10" spans="3:9" x14ac:dyDescent="0.35">
      <c r="C10" s="116"/>
      <c r="D10" s="70" t="s">
        <v>173</v>
      </c>
      <c r="E10" s="69"/>
      <c r="F10" s="77"/>
      <c r="G10" s="77"/>
      <c r="H10" s="78"/>
      <c r="I10" s="72">
        <f>SUM(I8:I9)</f>
        <v>256</v>
      </c>
    </row>
    <row r="11" spans="3:9" x14ac:dyDescent="0.35">
      <c r="C11" s="115" t="s">
        <v>168</v>
      </c>
      <c r="D11" s="14" t="s">
        <v>199</v>
      </c>
      <c r="F11" s="75"/>
      <c r="G11" s="75"/>
      <c r="H11" s="76"/>
      <c r="I11" s="71">
        <v>92</v>
      </c>
    </row>
    <row r="12" spans="3:9" x14ac:dyDescent="0.35">
      <c r="C12" s="115"/>
      <c r="D12" s="14" t="s">
        <v>7</v>
      </c>
      <c r="F12" s="75"/>
      <c r="G12" s="75"/>
      <c r="H12" s="76"/>
      <c r="I12" s="71">
        <v>34</v>
      </c>
    </row>
    <row r="13" spans="3:9" x14ac:dyDescent="0.35">
      <c r="C13" s="116"/>
      <c r="D13" s="70" t="s">
        <v>173</v>
      </c>
      <c r="E13" s="69"/>
      <c r="F13" s="77"/>
      <c r="G13" s="77"/>
      <c r="H13" s="78"/>
      <c r="I13" s="72">
        <f>SUM(I11:I12)</f>
        <v>126</v>
      </c>
    </row>
    <row r="14" spans="3:9" x14ac:dyDescent="0.35">
      <c r="C14" s="115" t="s">
        <v>169</v>
      </c>
      <c r="D14" s="14" t="s">
        <v>199</v>
      </c>
      <c r="F14" s="75"/>
      <c r="G14" s="75"/>
      <c r="H14" s="76"/>
      <c r="I14" s="71">
        <v>39</v>
      </c>
    </row>
    <row r="15" spans="3:9" x14ac:dyDescent="0.35">
      <c r="C15" s="115"/>
      <c r="D15" s="14" t="s">
        <v>7</v>
      </c>
      <c r="F15" s="75"/>
      <c r="G15" s="75"/>
      <c r="H15" s="76"/>
      <c r="I15" s="71">
        <v>8</v>
      </c>
    </row>
    <row r="16" spans="3:9" x14ac:dyDescent="0.35">
      <c r="C16" s="116"/>
      <c r="D16" s="70" t="s">
        <v>173</v>
      </c>
      <c r="E16" s="69"/>
      <c r="F16" s="77"/>
      <c r="G16" s="77"/>
      <c r="H16" s="77"/>
      <c r="I16" s="72">
        <f>SUM(I14:I15)</f>
        <v>47</v>
      </c>
    </row>
    <row r="17" spans="3:9" x14ac:dyDescent="0.35">
      <c r="C17" s="115" t="s">
        <v>182</v>
      </c>
      <c r="D17" s="14" t="s">
        <v>199</v>
      </c>
      <c r="F17" s="75"/>
      <c r="G17" s="75"/>
      <c r="H17" s="76"/>
      <c r="I17" s="71">
        <v>8</v>
      </c>
    </row>
    <row r="18" spans="3:9" x14ac:dyDescent="0.35">
      <c r="C18" s="115"/>
      <c r="D18" s="14" t="s">
        <v>7</v>
      </c>
      <c r="F18" s="75"/>
      <c r="G18" s="75"/>
      <c r="H18" s="76"/>
      <c r="I18" s="71">
        <v>44</v>
      </c>
    </row>
    <row r="19" spans="3:9" x14ac:dyDescent="0.35">
      <c r="C19" s="116"/>
      <c r="D19" s="70" t="s">
        <v>173</v>
      </c>
      <c r="E19" s="69"/>
      <c r="F19" s="77"/>
      <c r="G19" s="77"/>
      <c r="H19" s="78"/>
      <c r="I19" s="72">
        <f>SUM(I17:I18)</f>
        <v>52</v>
      </c>
    </row>
    <row r="20" spans="3:9" x14ac:dyDescent="0.35">
      <c r="C20" s="115" t="s">
        <v>170</v>
      </c>
      <c r="D20" s="14" t="s">
        <v>199</v>
      </c>
      <c r="F20" s="75"/>
      <c r="G20" s="75"/>
      <c r="H20" s="76"/>
      <c r="I20" s="71">
        <v>172</v>
      </c>
    </row>
    <row r="21" spans="3:9" x14ac:dyDescent="0.35">
      <c r="C21" s="115"/>
      <c r="D21" s="14" t="s">
        <v>7</v>
      </c>
      <c r="F21" s="75"/>
      <c r="G21" s="75"/>
      <c r="H21" s="76"/>
      <c r="I21" s="71">
        <v>285</v>
      </c>
    </row>
    <row r="22" spans="3:9" x14ac:dyDescent="0.35">
      <c r="C22" s="116"/>
      <c r="D22" s="70" t="s">
        <v>173</v>
      </c>
      <c r="E22" s="69"/>
      <c r="F22" s="77"/>
      <c r="G22" s="77"/>
      <c r="H22" s="78"/>
      <c r="I22" s="72">
        <f>SUM(I20:I21)+1</f>
        <v>458</v>
      </c>
    </row>
    <row r="23" spans="3:9" x14ac:dyDescent="0.35">
      <c r="C23" s="115" t="s">
        <v>171</v>
      </c>
      <c r="D23" s="14" t="s">
        <v>199</v>
      </c>
      <c r="F23" s="75"/>
      <c r="G23" s="75"/>
      <c r="H23">
        <v>7</v>
      </c>
      <c r="I23" s="71">
        <v>6</v>
      </c>
    </row>
    <row r="24" spans="3:9" x14ac:dyDescent="0.35">
      <c r="C24" s="115"/>
      <c r="D24" s="14" t="s">
        <v>7</v>
      </c>
      <c r="F24" s="75"/>
      <c r="G24" s="75"/>
      <c r="H24">
        <v>10</v>
      </c>
      <c r="I24" s="71">
        <v>8</v>
      </c>
    </row>
    <row r="25" spans="3:9" x14ac:dyDescent="0.35">
      <c r="C25" s="116"/>
      <c r="D25" s="70" t="s">
        <v>173</v>
      </c>
      <c r="E25" s="69"/>
      <c r="F25" s="77"/>
      <c r="G25" s="77"/>
      <c r="H25" s="72">
        <f>SUM(H23:H24)</f>
        <v>17</v>
      </c>
      <c r="I25" s="72">
        <f>SUM(I23:I24)</f>
        <v>14</v>
      </c>
    </row>
    <row r="26" spans="3:9" x14ac:dyDescent="0.35">
      <c r="C26" s="115" t="s">
        <v>172</v>
      </c>
      <c r="D26" s="14" t="s">
        <v>199</v>
      </c>
      <c r="F26" s="71">
        <v>232</v>
      </c>
      <c r="G26" s="71">
        <v>213</v>
      </c>
      <c r="H26">
        <v>183</v>
      </c>
      <c r="I26" s="71">
        <v>153</v>
      </c>
    </row>
    <row r="27" spans="3:9" x14ac:dyDescent="0.35">
      <c r="C27" s="115"/>
      <c r="D27" s="14" t="s">
        <v>7</v>
      </c>
      <c r="F27" s="71">
        <f>461-F26</f>
        <v>229</v>
      </c>
      <c r="G27" s="71">
        <f>390-G26</f>
        <v>177</v>
      </c>
      <c r="H27">
        <v>161</v>
      </c>
      <c r="I27" s="71">
        <v>142</v>
      </c>
    </row>
    <row r="28" spans="3:9" x14ac:dyDescent="0.35">
      <c r="C28" s="116"/>
      <c r="D28" s="70" t="s">
        <v>173</v>
      </c>
      <c r="E28" s="69"/>
      <c r="F28" s="72">
        <f t="shared" ref="F28:G28" si="0">SUM(F26:F27)</f>
        <v>461</v>
      </c>
      <c r="G28" s="72">
        <f t="shared" si="0"/>
        <v>390</v>
      </c>
      <c r="H28" s="72">
        <f>SUM(H26:H27)-1</f>
        <v>343</v>
      </c>
      <c r="I28" s="72">
        <f>SUM(I26:I27)</f>
        <v>295</v>
      </c>
    </row>
    <row r="29" spans="3:9" x14ac:dyDescent="0.35">
      <c r="C29" s="117" t="s">
        <v>201</v>
      </c>
      <c r="D29" s="14" t="s">
        <v>199</v>
      </c>
      <c r="F29" s="71">
        <v>11</v>
      </c>
      <c r="G29" s="71">
        <v>9</v>
      </c>
      <c r="H29" s="76"/>
      <c r="I29" s="75"/>
    </row>
    <row r="30" spans="3:9" x14ac:dyDescent="0.35">
      <c r="C30" s="115"/>
      <c r="D30" s="14" t="s">
        <v>7</v>
      </c>
      <c r="F30" s="71">
        <f>27-F29</f>
        <v>16</v>
      </c>
      <c r="G30" s="71">
        <f>19-9</f>
        <v>10</v>
      </c>
      <c r="H30" s="76"/>
      <c r="I30" s="75"/>
    </row>
    <row r="31" spans="3:9" x14ac:dyDescent="0.35">
      <c r="C31" s="116"/>
      <c r="D31" s="70" t="s">
        <v>173</v>
      </c>
      <c r="E31" s="69"/>
      <c r="F31" s="72">
        <f t="shared" ref="F31:G31" si="1">SUM(F29:F30)</f>
        <v>27</v>
      </c>
      <c r="G31" s="72">
        <f t="shared" si="1"/>
        <v>19</v>
      </c>
      <c r="H31" s="77"/>
      <c r="I31" s="77"/>
    </row>
    <row r="32" spans="3:9" x14ac:dyDescent="0.35">
      <c r="C32" s="112" t="s">
        <v>173</v>
      </c>
      <c r="D32" s="15" t="s">
        <v>199</v>
      </c>
      <c r="E32" s="69"/>
      <c r="F32" s="74">
        <f>SUM(F8,F11,F14,F17,F20,F23,F26,F29)-1</f>
        <v>242</v>
      </c>
      <c r="G32" s="74">
        <f>SUM(G8,G11,G14,G17,G20,G23,G26,G29)-1</f>
        <v>221</v>
      </c>
      <c r="H32" s="74">
        <f>SUM(H8,H11,H14,H17,H20,H23,H26)</f>
        <v>190</v>
      </c>
      <c r="I32" s="74">
        <f>SUM(I8,I11,I14,I17,I20,I23,I26)+1</f>
        <v>491</v>
      </c>
    </row>
    <row r="33" spans="3:9" ht="15" thickBot="1" x14ac:dyDescent="0.4">
      <c r="C33" s="113"/>
      <c r="D33" s="15" t="s">
        <v>7</v>
      </c>
      <c r="E33" s="69"/>
      <c r="F33" s="74">
        <f>SUM(F9,F12,F15,F18,F21,F24,F27,F30)+1</f>
        <v>246</v>
      </c>
      <c r="G33" s="74">
        <f>SUM(G9,G12,G15,G18,G21,G24,G27,G30)+1</f>
        <v>188</v>
      </c>
      <c r="H33" s="74">
        <f>SUM(H9,H12,H15,H18,H21,H24,H27)</f>
        <v>171</v>
      </c>
      <c r="I33" s="74">
        <f>SUM(I9,I12,I15,I18,I21,I24,I27)+1</f>
        <v>758</v>
      </c>
    </row>
    <row r="34" spans="3:9" ht="15" thickBot="1" x14ac:dyDescent="0.4">
      <c r="C34" s="114"/>
      <c r="D34" s="73" t="s">
        <v>173</v>
      </c>
      <c r="F34" s="40">
        <f>SUM(F32:F33)</f>
        <v>488</v>
      </c>
      <c r="G34" s="40">
        <f>SUM(G32:G33)+1</f>
        <v>410</v>
      </c>
      <c r="H34" s="40">
        <f>SUM(H32:H33)</f>
        <v>361</v>
      </c>
      <c r="I34" s="40">
        <f>SUM(I32:I33)</f>
        <v>1249</v>
      </c>
    </row>
    <row r="36" spans="3:9" ht="9" customHeight="1" x14ac:dyDescent="0.35">
      <c r="F36" s="31"/>
      <c r="G36" s="31"/>
      <c r="H36" s="31"/>
      <c r="I36" s="31"/>
    </row>
    <row r="37" spans="3:9" x14ac:dyDescent="0.35">
      <c r="C37" s="10" t="s">
        <v>200</v>
      </c>
      <c r="D37" s="10"/>
      <c r="E37" s="14"/>
      <c r="F37" s="25"/>
      <c r="G37" s="25"/>
      <c r="H37" s="25"/>
      <c r="I37" s="28"/>
    </row>
    <row r="38" spans="3:9" x14ac:dyDescent="0.35">
      <c r="F38" s="31"/>
      <c r="G38" s="31"/>
      <c r="H38" s="31"/>
      <c r="I38" s="31"/>
    </row>
    <row r="39" spans="3:9" x14ac:dyDescent="0.35">
      <c r="C39" s="115" t="s">
        <v>167</v>
      </c>
      <c r="D39" s="14" t="s">
        <v>199</v>
      </c>
      <c r="F39" s="75"/>
      <c r="G39" s="75"/>
      <c r="H39" s="76"/>
      <c r="I39" s="71">
        <v>91</v>
      </c>
    </row>
    <row r="40" spans="3:9" x14ac:dyDescent="0.35">
      <c r="C40" s="115"/>
      <c r="D40" s="14" t="s">
        <v>7</v>
      </c>
      <c r="F40" s="75"/>
      <c r="G40" s="75"/>
      <c r="H40" s="76"/>
      <c r="I40" s="71">
        <v>680</v>
      </c>
    </row>
    <row r="41" spans="3:9" x14ac:dyDescent="0.35">
      <c r="C41" s="116"/>
      <c r="D41" s="70" t="s">
        <v>173</v>
      </c>
      <c r="E41" s="69"/>
      <c r="F41" s="77"/>
      <c r="G41" s="77"/>
      <c r="H41" s="78"/>
      <c r="I41" s="72">
        <f>SUM(I39:I40)</f>
        <v>771</v>
      </c>
    </row>
    <row r="42" spans="3:9" x14ac:dyDescent="0.35">
      <c r="C42" s="115" t="s">
        <v>168</v>
      </c>
      <c r="D42" s="14" t="s">
        <v>199</v>
      </c>
      <c r="F42" s="75"/>
      <c r="G42" s="75"/>
      <c r="H42" s="76"/>
      <c r="I42" s="71">
        <v>16</v>
      </c>
    </row>
    <row r="43" spans="3:9" x14ac:dyDescent="0.35">
      <c r="C43" s="115"/>
      <c r="D43" s="14" t="s">
        <v>7</v>
      </c>
      <c r="F43" s="75"/>
      <c r="G43" s="75"/>
      <c r="H43" s="76"/>
      <c r="I43" s="71">
        <v>27</v>
      </c>
    </row>
    <row r="44" spans="3:9" x14ac:dyDescent="0.35">
      <c r="C44" s="116"/>
      <c r="D44" s="70" t="s">
        <v>173</v>
      </c>
      <c r="E44" s="69"/>
      <c r="F44" s="77"/>
      <c r="G44" s="77"/>
      <c r="H44" s="78"/>
      <c r="I44" s="72">
        <f>SUM(I42:I43)</f>
        <v>43</v>
      </c>
    </row>
    <row r="45" spans="3:9" x14ac:dyDescent="0.35">
      <c r="C45" s="115" t="s">
        <v>169</v>
      </c>
      <c r="D45" s="14" t="s">
        <v>199</v>
      </c>
      <c r="F45" s="75"/>
      <c r="G45" s="75"/>
      <c r="H45" s="76"/>
      <c r="I45" s="71">
        <v>386</v>
      </c>
    </row>
    <row r="46" spans="3:9" x14ac:dyDescent="0.35">
      <c r="C46" s="115"/>
      <c r="D46" s="14" t="s">
        <v>7</v>
      </c>
      <c r="F46" s="75"/>
      <c r="G46" s="75"/>
      <c r="H46" s="76"/>
      <c r="I46" s="71">
        <v>18</v>
      </c>
    </row>
    <row r="47" spans="3:9" x14ac:dyDescent="0.35">
      <c r="C47" s="116"/>
      <c r="D47" s="70" t="s">
        <v>173</v>
      </c>
      <c r="E47" s="69"/>
      <c r="F47" s="77"/>
      <c r="G47" s="77"/>
      <c r="H47" s="78"/>
      <c r="I47" s="72">
        <f>SUM(I45:I46)</f>
        <v>404</v>
      </c>
    </row>
    <row r="48" spans="3:9" x14ac:dyDescent="0.35">
      <c r="C48" s="115" t="s">
        <v>182</v>
      </c>
      <c r="D48" s="14" t="s">
        <v>199</v>
      </c>
      <c r="F48" s="75"/>
      <c r="G48" s="75"/>
      <c r="H48" s="76"/>
      <c r="I48" s="71">
        <v>5</v>
      </c>
    </row>
    <row r="49" spans="3:9" x14ac:dyDescent="0.35">
      <c r="C49" s="115"/>
      <c r="D49" s="14" t="s">
        <v>7</v>
      </c>
      <c r="F49" s="75"/>
      <c r="G49" s="75"/>
      <c r="H49" s="76"/>
      <c r="I49" s="71">
        <v>25</v>
      </c>
    </row>
    <row r="50" spans="3:9" x14ac:dyDescent="0.35">
      <c r="C50" s="116"/>
      <c r="D50" s="70" t="s">
        <v>173</v>
      </c>
      <c r="E50" s="69"/>
      <c r="F50" s="77"/>
      <c r="G50" s="77"/>
      <c r="H50" s="78"/>
      <c r="I50" s="72">
        <f>SUM(I48:I49)</f>
        <v>30</v>
      </c>
    </row>
    <row r="51" spans="3:9" x14ac:dyDescent="0.35">
      <c r="C51" s="115" t="s">
        <v>170</v>
      </c>
      <c r="D51" s="14" t="s">
        <v>199</v>
      </c>
      <c r="F51" s="75"/>
      <c r="G51" s="75"/>
      <c r="H51" s="76"/>
      <c r="I51" s="71">
        <v>150</v>
      </c>
    </row>
    <row r="52" spans="3:9" x14ac:dyDescent="0.35">
      <c r="C52" s="115"/>
      <c r="D52" s="14" t="s">
        <v>7</v>
      </c>
      <c r="F52" s="75"/>
      <c r="G52" s="75"/>
      <c r="H52" s="76"/>
      <c r="I52" s="71">
        <v>158</v>
      </c>
    </row>
    <row r="53" spans="3:9" x14ac:dyDescent="0.35">
      <c r="C53" s="116"/>
      <c r="D53" s="70" t="s">
        <v>173</v>
      </c>
      <c r="E53" s="69"/>
      <c r="F53" s="77"/>
      <c r="G53" s="77"/>
      <c r="H53" s="78"/>
      <c r="I53" s="72">
        <f>SUM(I51:I52)</f>
        <v>308</v>
      </c>
    </row>
    <row r="54" spans="3:9" x14ac:dyDescent="0.35">
      <c r="C54" s="115" t="s">
        <v>171</v>
      </c>
      <c r="D54" s="14" t="s">
        <v>199</v>
      </c>
      <c r="F54" s="75"/>
      <c r="G54" s="75"/>
      <c r="H54" s="76"/>
      <c r="I54" s="71">
        <v>44</v>
      </c>
    </row>
    <row r="55" spans="3:9" x14ac:dyDescent="0.35">
      <c r="C55" s="115"/>
      <c r="D55" s="14" t="s">
        <v>7</v>
      </c>
      <c r="F55" s="75"/>
      <c r="G55" s="75"/>
      <c r="H55" s="76"/>
      <c r="I55" s="71">
        <v>167</v>
      </c>
    </row>
    <row r="56" spans="3:9" x14ac:dyDescent="0.35">
      <c r="C56" s="116"/>
      <c r="D56" s="70" t="s">
        <v>173</v>
      </c>
      <c r="E56" s="69"/>
      <c r="F56" s="77"/>
      <c r="G56" s="77"/>
      <c r="H56" s="78"/>
      <c r="I56" s="72">
        <f>SUM(I54:I55)</f>
        <v>211</v>
      </c>
    </row>
    <row r="57" spans="3:9" x14ac:dyDescent="0.35">
      <c r="C57" s="115" t="s">
        <v>172</v>
      </c>
      <c r="D57" s="14" t="s">
        <v>199</v>
      </c>
      <c r="F57" s="71">
        <v>220</v>
      </c>
      <c r="G57" s="71">
        <v>142</v>
      </c>
      <c r="H57">
        <v>145</v>
      </c>
      <c r="I57" s="71">
        <v>91</v>
      </c>
    </row>
    <row r="58" spans="3:9" x14ac:dyDescent="0.35">
      <c r="C58" s="115"/>
      <c r="D58" s="14" t="s">
        <v>7</v>
      </c>
      <c r="F58" s="71">
        <f>309-F57</f>
        <v>89</v>
      </c>
      <c r="G58" s="71">
        <f>204-G57</f>
        <v>62</v>
      </c>
      <c r="H58">
        <f>202-H57</f>
        <v>57</v>
      </c>
      <c r="I58" s="71">
        <v>52</v>
      </c>
    </row>
    <row r="59" spans="3:9" x14ac:dyDescent="0.35">
      <c r="C59" s="116"/>
      <c r="D59" s="70" t="s">
        <v>173</v>
      </c>
      <c r="E59" s="69"/>
      <c r="F59" s="72">
        <f>SUM(F57:F58)</f>
        <v>309</v>
      </c>
      <c r="G59" s="72">
        <f>SUM(G57:G58)</f>
        <v>204</v>
      </c>
      <c r="H59" s="72">
        <f>SUM(H57:H58)</f>
        <v>202</v>
      </c>
      <c r="I59" s="72">
        <f>SUM(I57:I58)</f>
        <v>143</v>
      </c>
    </row>
    <row r="60" spans="3:9" x14ac:dyDescent="0.35">
      <c r="C60" s="117" t="s">
        <v>201</v>
      </c>
      <c r="D60" s="14" t="s">
        <v>199</v>
      </c>
      <c r="F60" s="71">
        <v>116</v>
      </c>
      <c r="G60" s="71">
        <v>137</v>
      </c>
      <c r="H60">
        <v>162</v>
      </c>
      <c r="I60" s="75"/>
    </row>
    <row r="61" spans="3:9" x14ac:dyDescent="0.35">
      <c r="C61" s="115"/>
      <c r="D61" s="14" t="s">
        <v>7</v>
      </c>
      <c r="F61" s="71">
        <f>151-116</f>
        <v>35</v>
      </c>
      <c r="G61" s="71">
        <f>250-G60</f>
        <v>113</v>
      </c>
      <c r="H61">
        <f>316-H60</f>
        <v>154</v>
      </c>
      <c r="I61" s="75"/>
    </row>
    <row r="62" spans="3:9" x14ac:dyDescent="0.35">
      <c r="C62" s="116"/>
      <c r="D62" s="70" t="s">
        <v>173</v>
      </c>
      <c r="E62" s="69"/>
      <c r="F62" s="72">
        <f>SUM(F60:F61)</f>
        <v>151</v>
      </c>
      <c r="G62" s="72">
        <f>SUM(G60:G61)</f>
        <v>250</v>
      </c>
      <c r="H62" s="72">
        <f>SUM(H60:H61)</f>
        <v>316</v>
      </c>
      <c r="I62" s="77"/>
    </row>
    <row r="63" spans="3:9" x14ac:dyDescent="0.35">
      <c r="C63" s="112" t="s">
        <v>173</v>
      </c>
      <c r="D63" s="15" t="s">
        <v>199</v>
      </c>
      <c r="E63" s="69"/>
      <c r="F63" s="74">
        <f>SUM(F39,F42,F45,F48,F51,F54,F57,F60)-1</f>
        <v>335</v>
      </c>
      <c r="G63" s="74">
        <f>SUM(G39,G42,G45,G48,G51,G54,G57,G60)-1</f>
        <v>278</v>
      </c>
      <c r="H63" s="74">
        <f>SUM(H39,H42,H45,H48,H51,H54,H57,H60)-1</f>
        <v>306</v>
      </c>
      <c r="I63" s="74">
        <f>SUM(I39,I42,I45,I48,I51,I54,I57)</f>
        <v>783</v>
      </c>
    </row>
    <row r="64" spans="3:9" ht="15" thickBot="1" x14ac:dyDescent="0.4">
      <c r="C64" s="113"/>
      <c r="D64" s="15" t="s">
        <v>7</v>
      </c>
      <c r="E64" s="69"/>
      <c r="F64" s="74">
        <f>SUM(F40,F43,F46,F49,F52,F55,F58,F61)+1</f>
        <v>125</v>
      </c>
      <c r="G64" s="74">
        <f>SUM(G40,G43,G46,G49,G52,G55,G58,G61)+1</f>
        <v>176</v>
      </c>
      <c r="H64" s="74">
        <f>SUM(H40,H43,H46,H49,H52,H55,H58,H61)+1</f>
        <v>212</v>
      </c>
      <c r="I64" s="74">
        <f>SUM(I40,I43,I46,I49,I52,I55,I58)</f>
        <v>1127</v>
      </c>
    </row>
    <row r="65" spans="3:9" ht="15" thickBot="1" x14ac:dyDescent="0.4">
      <c r="C65" s="114"/>
      <c r="D65" s="73" t="s">
        <v>173</v>
      </c>
      <c r="F65" s="40">
        <f>SUM(F63:F64)</f>
        <v>460</v>
      </c>
      <c r="G65" s="40">
        <f>SUM(G63:G64)+1</f>
        <v>455</v>
      </c>
      <c r="H65" s="40">
        <f>SUM(H63:H64)+1</f>
        <v>519</v>
      </c>
      <c r="I65" s="40">
        <f>SUM(I63:I64)</f>
        <v>1910</v>
      </c>
    </row>
    <row r="68" spans="3:9" x14ac:dyDescent="0.35">
      <c r="C68" t="s">
        <v>272</v>
      </c>
    </row>
  </sheetData>
  <mergeCells count="19">
    <mergeCell ref="C14:C16"/>
    <mergeCell ref="C17:C19"/>
    <mergeCell ref="C20:C22"/>
    <mergeCell ref="C4:D4"/>
    <mergeCell ref="C63:C65"/>
    <mergeCell ref="C45:C47"/>
    <mergeCell ref="C48:C50"/>
    <mergeCell ref="C51:C53"/>
    <mergeCell ref="C54:C56"/>
    <mergeCell ref="C57:C59"/>
    <mergeCell ref="C60:C62"/>
    <mergeCell ref="C26:C28"/>
    <mergeCell ref="C29:C31"/>
    <mergeCell ref="C32:C34"/>
    <mergeCell ref="C39:C41"/>
    <mergeCell ref="C42:C44"/>
    <mergeCell ref="C23:C25"/>
    <mergeCell ref="C8:C10"/>
    <mergeCell ref="C11:C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3B62-31F7-4389-99A9-8B5AF3C346B4}">
  <dimension ref="C3:J20"/>
  <sheetViews>
    <sheetView showGridLines="0" topLeftCell="B1" workbookViewId="0">
      <selection activeCell="J23" sqref="J23"/>
    </sheetView>
  </sheetViews>
  <sheetFormatPr defaultRowHeight="14.5" x14ac:dyDescent="0.35"/>
  <cols>
    <col min="3" max="3" width="28.81640625" customWidth="1"/>
    <col min="4" max="4" width="3.453125" customWidth="1"/>
    <col min="5" max="7" width="13.1796875" customWidth="1"/>
    <col min="8" max="8" width="13" customWidth="1"/>
    <col min="9" max="9" width="13.1796875" customWidth="1"/>
    <col min="10" max="10" width="13" customWidth="1"/>
  </cols>
  <sheetData>
    <row r="3" spans="3:10" x14ac:dyDescent="0.35">
      <c r="C3" s="9" t="s">
        <v>205</v>
      </c>
      <c r="D3" s="14"/>
      <c r="E3" s="66">
        <v>2021</v>
      </c>
      <c r="F3" s="66">
        <v>2022</v>
      </c>
      <c r="G3" s="66">
        <v>2023</v>
      </c>
      <c r="H3" s="66" t="s">
        <v>176</v>
      </c>
      <c r="I3" s="66">
        <v>2024</v>
      </c>
      <c r="J3" s="66" t="s">
        <v>181</v>
      </c>
    </row>
    <row r="4" spans="3:10" ht="4.5" customHeight="1" x14ac:dyDescent="0.35">
      <c r="E4" s="31"/>
      <c r="F4" s="31"/>
      <c r="G4" s="31"/>
      <c r="H4" s="31"/>
      <c r="I4" s="31"/>
      <c r="J4" s="31"/>
    </row>
    <row r="5" spans="3:10" x14ac:dyDescent="0.35">
      <c r="C5" s="10" t="s">
        <v>206</v>
      </c>
      <c r="D5" s="14"/>
      <c r="E5" s="25"/>
      <c r="F5" s="25"/>
      <c r="G5" s="25"/>
      <c r="H5" s="25"/>
      <c r="I5" s="28"/>
      <c r="J5" s="28"/>
    </row>
    <row r="6" spans="3:10" ht="7" customHeight="1" x14ac:dyDescent="0.35">
      <c r="E6" s="31"/>
      <c r="F6" s="31"/>
      <c r="G6" s="31"/>
      <c r="H6" s="31"/>
      <c r="I6" s="31"/>
      <c r="J6" s="31"/>
    </row>
    <row r="7" spans="3:10" x14ac:dyDescent="0.35">
      <c r="C7" s="14" t="s">
        <v>207</v>
      </c>
      <c r="E7" s="59">
        <v>71</v>
      </c>
      <c r="F7" s="59">
        <v>101</v>
      </c>
      <c r="G7" s="59">
        <v>83</v>
      </c>
      <c r="H7" s="59">
        <v>84</v>
      </c>
      <c r="I7" s="31">
        <v>81</v>
      </c>
      <c r="J7" s="31">
        <v>71.900000000000006</v>
      </c>
    </row>
    <row r="8" spans="3:10" x14ac:dyDescent="0.35">
      <c r="C8" s="14" t="s">
        <v>211</v>
      </c>
      <c r="E8" s="79"/>
      <c r="F8" s="79"/>
      <c r="G8" s="59">
        <v>78</v>
      </c>
      <c r="H8" s="59">
        <v>80</v>
      </c>
      <c r="I8" s="31">
        <v>74</v>
      </c>
      <c r="J8" s="31">
        <v>66</v>
      </c>
    </row>
    <row r="9" spans="3:10" x14ac:dyDescent="0.35">
      <c r="C9" s="14" t="s">
        <v>212</v>
      </c>
      <c r="E9" s="79"/>
      <c r="F9" s="79"/>
      <c r="G9" s="59">
        <v>75</v>
      </c>
      <c r="H9" s="59">
        <v>80</v>
      </c>
      <c r="I9" s="31">
        <v>75</v>
      </c>
      <c r="J9" s="31">
        <v>67</v>
      </c>
    </row>
    <row r="10" spans="3:10" x14ac:dyDescent="0.35">
      <c r="E10" s="64"/>
      <c r="F10" s="64"/>
      <c r="G10" s="64"/>
    </row>
    <row r="11" spans="3:10" x14ac:dyDescent="0.35">
      <c r="C11" s="10" t="s">
        <v>208</v>
      </c>
      <c r="D11" s="14"/>
      <c r="E11" s="25"/>
      <c r="F11" s="25"/>
      <c r="G11" s="25"/>
      <c r="H11" s="25"/>
      <c r="I11" s="28"/>
      <c r="J11" s="28"/>
    </row>
    <row r="12" spans="3:10" ht="6" customHeight="1" x14ac:dyDescent="0.35">
      <c r="E12" s="31"/>
      <c r="F12" s="31"/>
      <c r="G12" s="31"/>
      <c r="H12" s="31"/>
      <c r="I12" s="31"/>
      <c r="J12" s="31"/>
    </row>
    <row r="13" spans="3:10" x14ac:dyDescent="0.35">
      <c r="C13" s="14" t="s">
        <v>209</v>
      </c>
      <c r="E13" s="82">
        <v>16.2</v>
      </c>
      <c r="F13" s="82">
        <v>25.4</v>
      </c>
      <c r="G13" s="82">
        <v>12.8</v>
      </c>
      <c r="H13" s="82">
        <v>9.5</v>
      </c>
      <c r="I13" s="81">
        <v>11.1</v>
      </c>
      <c r="J13" s="81">
        <v>13.4</v>
      </c>
    </row>
    <row r="14" spans="3:10" x14ac:dyDescent="0.35">
      <c r="C14" s="14" t="s">
        <v>210</v>
      </c>
      <c r="E14" s="82">
        <v>16.5</v>
      </c>
      <c r="F14" s="82">
        <v>38.700000000000003</v>
      </c>
      <c r="G14" s="82">
        <v>13.4</v>
      </c>
      <c r="H14" s="82">
        <v>9.6</v>
      </c>
      <c r="I14" s="81">
        <v>11.3</v>
      </c>
      <c r="J14" s="81">
        <v>13.6</v>
      </c>
    </row>
    <row r="15" spans="3:10" x14ac:dyDescent="0.35">
      <c r="C15" s="14" t="s">
        <v>211</v>
      </c>
      <c r="E15" s="84"/>
      <c r="F15" s="82">
        <v>23.5</v>
      </c>
      <c r="G15" s="82">
        <v>11.5</v>
      </c>
      <c r="H15" s="82">
        <v>8.6999999999999993</v>
      </c>
      <c r="I15" s="81">
        <v>11.6</v>
      </c>
      <c r="J15" s="81">
        <v>14</v>
      </c>
    </row>
    <row r="16" spans="3:10" x14ac:dyDescent="0.35">
      <c r="C16" s="14" t="s">
        <v>212</v>
      </c>
      <c r="E16" s="82">
        <v>7.7</v>
      </c>
      <c r="F16" s="82">
        <v>11</v>
      </c>
      <c r="G16" s="82">
        <v>7</v>
      </c>
      <c r="H16" s="82">
        <v>8</v>
      </c>
      <c r="I16" s="81">
        <v>11.4</v>
      </c>
      <c r="J16" s="81">
        <v>13.4</v>
      </c>
    </row>
    <row r="18" spans="3:10" x14ac:dyDescent="0.35">
      <c r="C18" s="10" t="s">
        <v>213</v>
      </c>
      <c r="D18" s="14"/>
      <c r="E18" s="25"/>
      <c r="F18" s="25"/>
      <c r="G18" s="25"/>
      <c r="H18" s="25"/>
      <c r="I18" s="28"/>
      <c r="J18" s="28"/>
    </row>
    <row r="19" spans="3:10" ht="7" customHeight="1" x14ac:dyDescent="0.35">
      <c r="E19" s="31"/>
      <c r="F19" s="31"/>
      <c r="G19" s="31"/>
      <c r="H19" s="31"/>
      <c r="I19" s="31"/>
      <c r="J19" s="31"/>
    </row>
    <row r="20" spans="3:10" x14ac:dyDescent="0.35">
      <c r="C20" s="14" t="s">
        <v>214</v>
      </c>
      <c r="D20" s="83"/>
      <c r="E20" s="84"/>
      <c r="F20" s="84"/>
      <c r="G20" s="82">
        <v>13</v>
      </c>
      <c r="H20" s="82">
        <v>13.4</v>
      </c>
      <c r="I20" s="81">
        <v>4.2</v>
      </c>
      <c r="J20" s="81">
        <v>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816E-2291-4EB9-8A2C-FCB300E17054}">
  <dimension ref="B2:M71"/>
  <sheetViews>
    <sheetView showGridLines="0" workbookViewId="0">
      <selection activeCell="M24" sqref="M24"/>
    </sheetView>
  </sheetViews>
  <sheetFormatPr defaultRowHeight="14.5" x14ac:dyDescent="0.35"/>
  <cols>
    <col min="2" max="2" width="15.26953125" customWidth="1"/>
    <col min="3" max="3" width="4.81640625" customWidth="1"/>
    <col min="4" max="4" width="10.08984375" bestFit="1" customWidth="1"/>
    <col min="5" max="5" width="13.26953125" customWidth="1"/>
    <col min="6" max="6" width="9.36328125" bestFit="1" customWidth="1"/>
    <col min="7" max="7" width="12.54296875" bestFit="1" customWidth="1"/>
    <col min="8" max="8" width="9.36328125" bestFit="1" customWidth="1"/>
    <col min="9" max="9" width="12.54296875" bestFit="1" customWidth="1"/>
    <col min="10" max="10" width="9.36328125" bestFit="1" customWidth="1"/>
    <col min="11" max="11" width="12.54296875" bestFit="1" customWidth="1"/>
    <col min="13" max="13" width="12.54296875" bestFit="1" customWidth="1"/>
  </cols>
  <sheetData>
    <row r="2" spans="2:13" x14ac:dyDescent="0.35">
      <c r="B2" s="121" t="s">
        <v>266</v>
      </c>
      <c r="C2" s="121"/>
      <c r="D2" s="121"/>
      <c r="E2" s="121"/>
      <c r="F2" s="121"/>
    </row>
    <row r="3" spans="2:13" ht="15" thickBot="1" x14ac:dyDescent="0.4"/>
    <row r="4" spans="2:13" x14ac:dyDescent="0.35">
      <c r="B4" s="100" t="s">
        <v>225</v>
      </c>
      <c r="C4" s="103"/>
      <c r="D4" s="103">
        <v>1.3734999999999999</v>
      </c>
    </row>
    <row r="5" spans="2:13" x14ac:dyDescent="0.35">
      <c r="B5" s="99" t="s">
        <v>226</v>
      </c>
      <c r="C5" s="93"/>
      <c r="D5" s="102">
        <v>1.1787000000000001</v>
      </c>
    </row>
    <row r="6" spans="2:13" ht="15" thickBot="1" x14ac:dyDescent="0.4">
      <c r="B6" s="99" t="s">
        <v>227</v>
      </c>
      <c r="C6" s="93"/>
      <c r="D6" s="101" t="s">
        <v>228</v>
      </c>
    </row>
    <row r="7" spans="2:13" x14ac:dyDescent="0.35">
      <c r="B7" s="100"/>
      <c r="C7" s="100"/>
      <c r="D7" s="100"/>
    </row>
    <row r="8" spans="2:13" x14ac:dyDescent="0.35">
      <c r="B8" s="104"/>
      <c r="C8" s="104"/>
      <c r="D8" s="104"/>
    </row>
    <row r="9" spans="2:13" ht="18" customHeight="1" x14ac:dyDescent="0.35">
      <c r="C9" s="86"/>
      <c r="D9" s="121" t="s">
        <v>263</v>
      </c>
      <c r="E9" s="121"/>
      <c r="F9" s="121"/>
      <c r="G9" s="121"/>
      <c r="H9" s="121"/>
      <c r="I9" s="121"/>
      <c r="J9" s="121"/>
      <c r="K9" s="121"/>
      <c r="L9" s="121"/>
      <c r="M9" s="121"/>
    </row>
    <row r="10" spans="2:13" x14ac:dyDescent="0.35">
      <c r="B10" s="98"/>
      <c r="C10" s="98"/>
      <c r="D10" s="98"/>
      <c r="E10" s="98"/>
      <c r="F10" s="98"/>
      <c r="G10" s="98"/>
      <c r="H10" s="98"/>
    </row>
    <row r="11" spans="2:13" x14ac:dyDescent="0.35">
      <c r="D11" s="123" t="s">
        <v>264</v>
      </c>
      <c r="E11" s="123"/>
      <c r="F11" s="123" t="s">
        <v>265</v>
      </c>
      <c r="G11" s="123"/>
      <c r="H11" s="123">
        <v>2026</v>
      </c>
      <c r="I11" s="123"/>
      <c r="J11" s="123">
        <v>2027</v>
      </c>
      <c r="K11" s="123"/>
      <c r="L11" s="123">
        <v>2028</v>
      </c>
      <c r="M11" s="123"/>
    </row>
    <row r="12" spans="2:13" ht="9" customHeight="1" thickBot="1" x14ac:dyDescent="0.4">
      <c r="D12" s="94"/>
      <c r="E12" s="94"/>
      <c r="I12" s="94"/>
      <c r="J12" s="94"/>
      <c r="K12" s="94"/>
      <c r="M12" s="93"/>
    </row>
    <row r="13" spans="2:13" x14ac:dyDescent="0.35">
      <c r="B13" s="100" t="s">
        <v>235</v>
      </c>
      <c r="C13" s="90"/>
      <c r="D13" s="118">
        <v>65.86</v>
      </c>
      <c r="E13" s="118"/>
      <c r="F13" s="118">
        <v>68.8</v>
      </c>
      <c r="G13" s="118"/>
      <c r="H13" s="118">
        <v>64.8</v>
      </c>
      <c r="I13" s="118"/>
      <c r="J13" s="118">
        <v>65.39</v>
      </c>
      <c r="K13" s="118"/>
      <c r="L13" s="118">
        <v>66.099999999999994</v>
      </c>
      <c r="M13" s="118"/>
    </row>
    <row r="14" spans="2:13" ht="17.25" customHeight="1" x14ac:dyDescent="0.35">
      <c r="B14" s="99" t="s">
        <v>236</v>
      </c>
      <c r="C14" s="97"/>
      <c r="D14" s="119">
        <v>82.91</v>
      </c>
      <c r="E14" s="119"/>
      <c r="F14" s="119">
        <v>91.65</v>
      </c>
      <c r="G14" s="119"/>
      <c r="H14" s="119">
        <v>84.92</v>
      </c>
      <c r="I14" s="119"/>
      <c r="J14" s="119">
        <v>77.819999999999993</v>
      </c>
      <c r="K14" s="119"/>
      <c r="L14" s="119">
        <v>70.92</v>
      </c>
      <c r="M14" s="119"/>
    </row>
    <row r="15" spans="2:13" ht="15" thickBot="1" x14ac:dyDescent="0.4">
      <c r="B15" s="91" t="s">
        <v>237</v>
      </c>
      <c r="C15" s="97"/>
      <c r="D15" s="120">
        <v>11.683394463994594</v>
      </c>
      <c r="E15" s="120"/>
      <c r="F15" s="120">
        <v>12.954680437604887</v>
      </c>
      <c r="G15" s="120"/>
      <c r="H15" s="120">
        <v>11.479574158442944</v>
      </c>
      <c r="I15" s="120"/>
      <c r="J15" s="120">
        <v>10.225561092082792</v>
      </c>
      <c r="K15" s="120"/>
      <c r="L15" s="120">
        <v>9.0233667474730588</v>
      </c>
      <c r="M15" s="120"/>
    </row>
    <row r="16" spans="2:13" x14ac:dyDescent="0.35">
      <c r="B16" s="90"/>
      <c r="C16" s="90"/>
      <c r="D16" s="90"/>
      <c r="E16" s="90"/>
      <c r="F16" s="90"/>
      <c r="G16" s="90"/>
      <c r="H16" s="90"/>
    </row>
    <row r="20" spans="2:13" ht="12.75" customHeight="1" x14ac:dyDescent="0.35">
      <c r="B20" s="121" t="s">
        <v>229</v>
      </c>
      <c r="C20" s="121"/>
      <c r="D20" s="121"/>
      <c r="E20" s="121"/>
      <c r="F20" s="121"/>
      <c r="G20" s="121"/>
      <c r="H20" s="121"/>
      <c r="I20" s="121"/>
      <c r="J20" s="121"/>
      <c r="K20" s="121"/>
      <c r="L20" s="121"/>
      <c r="M20" s="121"/>
    </row>
    <row r="21" spans="2:13" x14ac:dyDescent="0.35">
      <c r="B21" s="86"/>
      <c r="C21" s="86"/>
    </row>
    <row r="22" spans="2:13" x14ac:dyDescent="0.35">
      <c r="D22" s="123" t="s">
        <v>233</v>
      </c>
      <c r="E22" s="123"/>
      <c r="F22" s="123" t="s">
        <v>234</v>
      </c>
      <c r="G22" s="123"/>
      <c r="H22" s="123">
        <v>2026</v>
      </c>
      <c r="I22" s="123"/>
      <c r="J22" s="123">
        <v>2027</v>
      </c>
      <c r="K22" s="123"/>
      <c r="L22" s="123">
        <v>2028</v>
      </c>
      <c r="M22" s="123"/>
    </row>
    <row r="23" spans="2:13" ht="5.25" customHeight="1" x14ac:dyDescent="0.35">
      <c r="D23" s="94"/>
      <c r="E23" s="94"/>
      <c r="F23" s="94"/>
      <c r="G23" s="94"/>
      <c r="H23" s="94"/>
      <c r="I23" s="94"/>
      <c r="J23" s="94"/>
      <c r="K23" s="94"/>
      <c r="L23" s="94"/>
      <c r="M23" s="94"/>
    </row>
    <row r="24" spans="2:13" x14ac:dyDescent="0.35">
      <c r="B24" s="122" t="s">
        <v>180</v>
      </c>
      <c r="C24" s="122"/>
      <c r="D24" s="105" t="s">
        <v>230</v>
      </c>
      <c r="E24" s="105" t="s">
        <v>231</v>
      </c>
      <c r="F24" s="105" t="s">
        <v>230</v>
      </c>
      <c r="G24" s="105" t="s">
        <v>232</v>
      </c>
      <c r="H24" s="105" t="s">
        <v>230</v>
      </c>
      <c r="I24" s="105" t="s">
        <v>232</v>
      </c>
      <c r="J24" s="105" t="s">
        <v>230</v>
      </c>
      <c r="K24" s="105" t="s">
        <v>232</v>
      </c>
      <c r="L24" s="105" t="s">
        <v>230</v>
      </c>
      <c r="M24" s="105" t="s">
        <v>232</v>
      </c>
    </row>
    <row r="25" spans="2:13" x14ac:dyDescent="0.35">
      <c r="D25" s="88" t="s">
        <v>239</v>
      </c>
      <c r="E25" s="88" t="s">
        <v>238</v>
      </c>
      <c r="F25" s="88" t="s">
        <v>239</v>
      </c>
      <c r="G25" s="88" t="s">
        <v>238</v>
      </c>
      <c r="H25" s="88" t="s">
        <v>239</v>
      </c>
      <c r="I25" s="88" t="s">
        <v>238</v>
      </c>
      <c r="J25" s="88" t="s">
        <v>239</v>
      </c>
      <c r="K25" s="88" t="s">
        <v>238</v>
      </c>
      <c r="L25" s="88" t="s">
        <v>239</v>
      </c>
      <c r="M25" s="88" t="s">
        <v>238</v>
      </c>
    </row>
    <row r="26" spans="2:13" ht="8.25" customHeight="1" thickBot="1" x14ac:dyDescent="0.4">
      <c r="D26" s="88"/>
      <c r="E26" s="88"/>
      <c r="F26" s="88"/>
      <c r="G26" s="88"/>
      <c r="H26" s="88"/>
      <c r="I26" s="88"/>
      <c r="J26" s="88"/>
      <c r="K26" s="88"/>
      <c r="L26" s="88"/>
      <c r="M26" s="88"/>
    </row>
    <row r="27" spans="2:13" ht="15" thickBot="1" x14ac:dyDescent="0.4">
      <c r="B27" s="87" t="s">
        <v>7</v>
      </c>
      <c r="C27" s="87"/>
      <c r="D27" s="90">
        <v>18.173204849448272</v>
      </c>
      <c r="E27" s="90">
        <v>14.088392306984929</v>
      </c>
      <c r="F27" s="90">
        <v>35.799128328448269</v>
      </c>
      <c r="G27" s="90">
        <v>14.010450203766563</v>
      </c>
      <c r="H27" s="90">
        <v>25.100882124137932</v>
      </c>
      <c r="I27" s="90">
        <v>11.778045896287033</v>
      </c>
      <c r="J27" s="90">
        <v>8.1842608275862059</v>
      </c>
      <c r="K27" s="90">
        <v>10.954741422980437</v>
      </c>
      <c r="L27" s="90">
        <v>0.86293103448275865</v>
      </c>
      <c r="M27" s="90">
        <v>10.349078378275564</v>
      </c>
    </row>
    <row r="28" spans="2:13" ht="15" thickBot="1" x14ac:dyDescent="0.4">
      <c r="B28" s="87" t="s">
        <v>183</v>
      </c>
      <c r="C28" s="87"/>
      <c r="D28" s="90">
        <v>8.9480000000000004</v>
      </c>
      <c r="E28" s="90">
        <v>75.155319624497082</v>
      </c>
      <c r="F28" s="90">
        <v>17.664999999999999</v>
      </c>
      <c r="G28" s="90">
        <v>75.569984432493627</v>
      </c>
      <c r="H28" s="90">
        <v>14.43225</v>
      </c>
      <c r="I28" s="90">
        <v>72.426472656723647</v>
      </c>
      <c r="J28" s="90">
        <v>3.5587499999999999</v>
      </c>
      <c r="K28" s="90">
        <v>66.29589743589743</v>
      </c>
      <c r="L28" s="90">
        <v>0</v>
      </c>
      <c r="M28" s="90" t="s">
        <v>240</v>
      </c>
    </row>
    <row r="29" spans="2:13" x14ac:dyDescent="0.35">
      <c r="B29" s="87"/>
      <c r="C29" s="87"/>
      <c r="D29" s="87"/>
      <c r="E29" s="87"/>
      <c r="F29" s="87"/>
      <c r="G29" s="87"/>
      <c r="H29" s="87"/>
      <c r="I29" s="87"/>
      <c r="J29" s="87"/>
      <c r="K29" s="87"/>
      <c r="L29" s="87"/>
      <c r="M29" s="87"/>
    </row>
    <row r="32" spans="2:13" x14ac:dyDescent="0.35">
      <c r="D32" s="123" t="s">
        <v>233</v>
      </c>
      <c r="E32" s="123"/>
      <c r="F32" s="123" t="s">
        <v>234</v>
      </c>
      <c r="G32" s="123"/>
      <c r="H32" s="123">
        <v>2026</v>
      </c>
      <c r="I32" s="123"/>
      <c r="J32" s="123">
        <v>2027</v>
      </c>
      <c r="K32" s="123"/>
      <c r="L32" s="123">
        <v>2028</v>
      </c>
      <c r="M32" s="123"/>
    </row>
    <row r="33" spans="2:13" ht="6.75" customHeight="1" x14ac:dyDescent="0.35">
      <c r="D33" s="94"/>
      <c r="E33" s="94"/>
      <c r="F33" s="94"/>
      <c r="G33" s="94"/>
      <c r="H33" s="94"/>
      <c r="I33" s="94"/>
      <c r="J33" s="94"/>
      <c r="K33" s="94"/>
      <c r="L33" s="94"/>
      <c r="M33" s="94"/>
    </row>
    <row r="34" spans="2:13" x14ac:dyDescent="0.35">
      <c r="B34" s="122" t="s">
        <v>172</v>
      </c>
      <c r="C34" s="122"/>
      <c r="D34" s="105" t="s">
        <v>230</v>
      </c>
      <c r="E34" s="105" t="s">
        <v>231</v>
      </c>
      <c r="F34" s="105" t="s">
        <v>230</v>
      </c>
      <c r="G34" s="105" t="s">
        <v>231</v>
      </c>
      <c r="H34" s="105" t="s">
        <v>230</v>
      </c>
      <c r="I34" s="105" t="s">
        <v>231</v>
      </c>
      <c r="J34" s="105" t="s">
        <v>230</v>
      </c>
      <c r="K34" s="105" t="s">
        <v>231</v>
      </c>
      <c r="L34" s="105" t="s">
        <v>230</v>
      </c>
      <c r="M34" s="105" t="s">
        <v>231</v>
      </c>
    </row>
    <row r="35" spans="2:13" x14ac:dyDescent="0.35">
      <c r="D35" s="88" t="s">
        <v>239</v>
      </c>
      <c r="E35" s="88" t="s">
        <v>238</v>
      </c>
      <c r="F35" s="88" t="s">
        <v>239</v>
      </c>
      <c r="G35" s="88" t="s">
        <v>238</v>
      </c>
      <c r="H35" s="88" t="s">
        <v>239</v>
      </c>
      <c r="I35" s="88" t="s">
        <v>238</v>
      </c>
      <c r="J35" s="88" t="s">
        <v>239</v>
      </c>
      <c r="K35" s="88" t="s">
        <v>238</v>
      </c>
      <c r="L35" s="88" t="s">
        <v>239</v>
      </c>
      <c r="M35" s="88" t="s">
        <v>238</v>
      </c>
    </row>
    <row r="36" spans="2:13" ht="8.25" customHeight="1" thickBot="1" x14ac:dyDescent="0.4">
      <c r="D36" s="88"/>
      <c r="E36" s="88"/>
      <c r="F36" s="88"/>
      <c r="G36" s="88"/>
      <c r="H36" s="88"/>
      <c r="I36" s="88"/>
      <c r="J36" s="88"/>
      <c r="K36" s="88"/>
      <c r="L36" s="88"/>
      <c r="M36" s="88"/>
    </row>
    <row r="37" spans="2:13" x14ac:dyDescent="0.35">
      <c r="B37" s="87" t="s">
        <v>7</v>
      </c>
      <c r="C37" s="87"/>
      <c r="D37" s="87"/>
      <c r="E37" s="87"/>
      <c r="F37" s="87"/>
      <c r="G37" s="87"/>
      <c r="H37" s="87"/>
      <c r="I37" s="87"/>
      <c r="J37" s="87"/>
      <c r="K37" s="87"/>
      <c r="L37" s="87"/>
      <c r="M37" s="87"/>
    </row>
    <row r="38" spans="2:13" x14ac:dyDescent="0.35">
      <c r="B38" s="92" t="s">
        <v>243</v>
      </c>
      <c r="C38" s="92"/>
      <c r="D38" s="95">
        <v>5.0758620689655167</v>
      </c>
      <c r="E38" s="95">
        <v>14.4</v>
      </c>
      <c r="F38" s="95">
        <v>9.4508620689655167</v>
      </c>
      <c r="G38" s="95">
        <v>13</v>
      </c>
      <c r="H38" s="95">
        <v>9.5581896551724128</v>
      </c>
      <c r="I38" s="95">
        <v>12.2</v>
      </c>
      <c r="J38" s="95">
        <v>3.2788793103448275</v>
      </c>
      <c r="K38" s="95">
        <v>11.6</v>
      </c>
      <c r="L38" s="95">
        <v>0.27456896551724141</v>
      </c>
      <c r="M38" s="95">
        <v>10.9</v>
      </c>
    </row>
    <row r="39" spans="2:13" ht="15" thickBot="1" x14ac:dyDescent="0.4">
      <c r="B39" s="92" t="s">
        <v>244</v>
      </c>
      <c r="C39" s="92"/>
      <c r="D39" s="95">
        <v>1.3482758620689657</v>
      </c>
      <c r="E39" s="96" t="s">
        <v>247</v>
      </c>
      <c r="F39" s="95">
        <v>2.8284482763793104</v>
      </c>
      <c r="G39" s="96" t="s">
        <v>248</v>
      </c>
      <c r="H39" s="95">
        <v>1.5655172413793104</v>
      </c>
      <c r="I39" s="96" t="s">
        <v>249</v>
      </c>
      <c r="J39" s="95">
        <v>1.9293103448275863</v>
      </c>
      <c r="K39" s="96" t="s">
        <v>250</v>
      </c>
      <c r="L39" s="95">
        <v>0.35301724137931034</v>
      </c>
      <c r="M39" s="96" t="s">
        <v>251</v>
      </c>
    </row>
    <row r="40" spans="2:13" ht="15" thickBot="1" x14ac:dyDescent="0.4">
      <c r="B40" s="87"/>
      <c r="C40" s="87"/>
      <c r="D40" s="87"/>
      <c r="E40" s="87"/>
      <c r="F40" s="87"/>
      <c r="G40" s="87"/>
      <c r="H40" s="87"/>
      <c r="I40" s="87"/>
      <c r="J40" s="87"/>
      <c r="K40" s="87"/>
      <c r="L40" s="87"/>
      <c r="M40" s="87"/>
    </row>
    <row r="41" spans="2:13" x14ac:dyDescent="0.35">
      <c r="B41" s="87" t="s">
        <v>183</v>
      </c>
      <c r="C41" s="87"/>
      <c r="D41" s="87"/>
      <c r="E41" s="87"/>
      <c r="F41" s="87"/>
      <c r="G41" s="87"/>
      <c r="H41" s="87"/>
      <c r="I41" s="87"/>
      <c r="J41" s="87"/>
      <c r="K41" s="87"/>
      <c r="L41" s="87"/>
      <c r="M41" s="87"/>
    </row>
    <row r="42" spans="2:13" x14ac:dyDescent="0.35">
      <c r="B42" s="92" t="s">
        <v>245</v>
      </c>
      <c r="C42" s="92"/>
      <c r="D42" s="89">
        <v>4.7839999999999998</v>
      </c>
      <c r="E42" s="89">
        <v>77.387500000000003</v>
      </c>
      <c r="F42" s="89">
        <v>9.49</v>
      </c>
      <c r="G42" s="89">
        <v>77.387500000000003</v>
      </c>
      <c r="H42" s="89">
        <v>9.8550000000000004</v>
      </c>
      <c r="I42" s="89">
        <v>72.897962962962964</v>
      </c>
      <c r="J42" s="89">
        <v>0.36499999999999999</v>
      </c>
      <c r="K42" s="89">
        <v>68.2</v>
      </c>
      <c r="L42" s="2">
        <v>0</v>
      </c>
      <c r="M42" s="2" t="s">
        <v>240</v>
      </c>
    </row>
    <row r="43" spans="2:13" ht="15" thickBot="1" x14ac:dyDescent="0.4">
      <c r="B43" s="92" t="s">
        <v>244</v>
      </c>
      <c r="C43" s="92"/>
      <c r="D43" s="95">
        <v>0.82799999999999996</v>
      </c>
      <c r="E43" s="2" t="s">
        <v>252</v>
      </c>
      <c r="F43" s="95">
        <v>1.5029999999999999</v>
      </c>
      <c r="G43" s="2" t="s">
        <v>252</v>
      </c>
      <c r="H43" s="2">
        <v>0</v>
      </c>
      <c r="I43" s="2" t="s">
        <v>240</v>
      </c>
      <c r="J43" s="95">
        <v>1.825</v>
      </c>
      <c r="K43" s="2" t="s">
        <v>253</v>
      </c>
      <c r="L43" s="2">
        <v>0</v>
      </c>
      <c r="M43" s="2" t="s">
        <v>240</v>
      </c>
    </row>
    <row r="44" spans="2:13" x14ac:dyDescent="0.35">
      <c r="B44" s="87"/>
      <c r="C44" s="87"/>
      <c r="D44" s="87"/>
      <c r="E44" s="87"/>
      <c r="F44" s="87"/>
      <c r="G44" s="87"/>
      <c r="H44" s="87"/>
      <c r="I44" s="87"/>
      <c r="J44" s="87"/>
      <c r="K44" s="87"/>
      <c r="L44" s="87"/>
      <c r="M44" s="87"/>
    </row>
    <row r="45" spans="2:13" x14ac:dyDescent="0.35">
      <c r="D45" s="124"/>
      <c r="E45" s="124"/>
      <c r="F45" s="124"/>
      <c r="G45" s="124"/>
      <c r="H45" s="124"/>
      <c r="I45" s="124"/>
      <c r="J45" s="124"/>
      <c r="K45" s="124"/>
      <c r="L45" s="124"/>
      <c r="M45" s="124"/>
    </row>
    <row r="46" spans="2:13" x14ac:dyDescent="0.35">
      <c r="D46" s="123" t="s">
        <v>233</v>
      </c>
      <c r="E46" s="123"/>
      <c r="F46" s="123" t="s">
        <v>234</v>
      </c>
      <c r="G46" s="123"/>
      <c r="H46" s="123">
        <v>2026</v>
      </c>
      <c r="I46" s="123"/>
      <c r="J46" s="123">
        <v>2027</v>
      </c>
      <c r="K46" s="123"/>
      <c r="L46" s="123">
        <v>2028</v>
      </c>
      <c r="M46" s="123"/>
    </row>
    <row r="47" spans="2:13" ht="6" customHeight="1" x14ac:dyDescent="0.35">
      <c r="D47" s="94"/>
      <c r="E47" s="94"/>
      <c r="F47" s="94"/>
      <c r="G47" s="94"/>
      <c r="H47" s="94"/>
      <c r="I47" s="94"/>
      <c r="J47" s="94"/>
      <c r="K47" s="94"/>
      <c r="L47" s="94"/>
      <c r="M47" s="94"/>
    </row>
    <row r="48" spans="2:13" x14ac:dyDescent="0.35">
      <c r="B48" s="122" t="s">
        <v>170</v>
      </c>
      <c r="C48" s="122"/>
      <c r="D48" s="105" t="s">
        <v>230</v>
      </c>
      <c r="E48" s="105" t="s">
        <v>231</v>
      </c>
      <c r="F48" s="105" t="s">
        <v>230</v>
      </c>
      <c r="G48" s="105" t="s">
        <v>232</v>
      </c>
      <c r="H48" s="105" t="s">
        <v>230</v>
      </c>
      <c r="I48" s="105" t="s">
        <v>232</v>
      </c>
      <c r="J48" s="105" t="s">
        <v>230</v>
      </c>
      <c r="K48" s="105" t="s">
        <v>232</v>
      </c>
      <c r="L48" s="105" t="s">
        <v>230</v>
      </c>
      <c r="M48" s="105" t="s">
        <v>232</v>
      </c>
    </row>
    <row r="49" spans="2:13" x14ac:dyDescent="0.35">
      <c r="D49" s="88" t="s">
        <v>239</v>
      </c>
      <c r="E49" s="88" t="s">
        <v>238</v>
      </c>
      <c r="F49" s="88" t="s">
        <v>239</v>
      </c>
      <c r="G49" s="88" t="s">
        <v>238</v>
      </c>
      <c r="H49" s="88" t="s">
        <v>239</v>
      </c>
      <c r="I49" s="88" t="s">
        <v>238</v>
      </c>
      <c r="J49" s="88" t="s">
        <v>239</v>
      </c>
      <c r="K49" s="88" t="s">
        <v>238</v>
      </c>
      <c r="L49" s="88" t="s">
        <v>239</v>
      </c>
      <c r="M49" s="88" t="s">
        <v>238</v>
      </c>
    </row>
    <row r="50" spans="2:13" ht="6.75" customHeight="1" thickBot="1" x14ac:dyDescent="0.4">
      <c r="D50" s="88"/>
      <c r="E50" s="88"/>
      <c r="F50" s="88"/>
      <c r="G50" s="88"/>
      <c r="H50" s="88"/>
      <c r="I50" s="88"/>
      <c r="J50" s="88"/>
      <c r="K50" s="88"/>
      <c r="L50" s="88"/>
      <c r="M50" s="88"/>
    </row>
    <row r="51" spans="2:13" x14ac:dyDescent="0.35">
      <c r="B51" s="87" t="s">
        <v>7</v>
      </c>
      <c r="C51" s="87"/>
      <c r="D51" s="87"/>
      <c r="E51" s="87"/>
      <c r="F51" s="87"/>
      <c r="G51" s="87"/>
      <c r="H51" s="87"/>
      <c r="I51" s="87"/>
      <c r="J51" s="87"/>
      <c r="K51" s="87"/>
      <c r="L51" s="87"/>
      <c r="M51" s="87"/>
    </row>
    <row r="52" spans="2:13" x14ac:dyDescent="0.35">
      <c r="B52" s="92" t="s">
        <v>243</v>
      </c>
      <c r="C52" s="92"/>
      <c r="D52" s="95">
        <v>8.5859378797931001</v>
      </c>
      <c r="E52" s="95">
        <v>14.925105867227252</v>
      </c>
      <c r="F52" s="95">
        <v>17.246189928275861</v>
      </c>
      <c r="G52" s="95">
        <v>15.017304154720815</v>
      </c>
      <c r="H52" s="95">
        <v>8.5632632275862068</v>
      </c>
      <c r="I52" s="95">
        <v>11.411494218912386</v>
      </c>
      <c r="J52" s="95">
        <v>0.89195999999999975</v>
      </c>
      <c r="K52" s="95">
        <v>10.080541161185442</v>
      </c>
      <c r="L52" s="95">
        <v>0.11767241379310345</v>
      </c>
      <c r="M52" s="95">
        <v>11.052950326661826</v>
      </c>
    </row>
    <row r="53" spans="2:13" ht="15" thickBot="1" x14ac:dyDescent="0.4">
      <c r="B53" s="92" t="s">
        <v>244</v>
      </c>
      <c r="C53" s="92"/>
      <c r="D53" s="95">
        <v>2.2770696999999998</v>
      </c>
      <c r="E53" s="2" t="s">
        <v>257</v>
      </c>
      <c r="F53" s="95">
        <v>4.516353931034482</v>
      </c>
      <c r="G53" s="2" t="s">
        <v>257</v>
      </c>
      <c r="H53" s="95">
        <v>3.8679230344827586</v>
      </c>
      <c r="I53" s="2" t="s">
        <v>258</v>
      </c>
      <c r="J53" s="95">
        <v>1.3626496551724137</v>
      </c>
      <c r="K53" s="2" t="s">
        <v>256</v>
      </c>
      <c r="L53" s="95">
        <v>0.11767241379310345</v>
      </c>
      <c r="M53" s="2" t="s">
        <v>259</v>
      </c>
    </row>
    <row r="54" spans="2:13" ht="15" thickBot="1" x14ac:dyDescent="0.4">
      <c r="B54" s="87"/>
      <c r="C54" s="87"/>
      <c r="D54" s="87"/>
      <c r="E54" s="87"/>
      <c r="F54" s="87"/>
      <c r="G54" s="87"/>
      <c r="H54" s="87"/>
      <c r="I54" s="87"/>
      <c r="J54" s="87"/>
      <c r="K54" s="87"/>
      <c r="L54" s="87"/>
      <c r="M54" s="87"/>
    </row>
    <row r="55" spans="2:13" x14ac:dyDescent="0.35">
      <c r="B55" s="87" t="s">
        <v>183</v>
      </c>
      <c r="C55" s="87"/>
      <c r="D55" s="87"/>
      <c r="E55" s="87"/>
      <c r="F55" s="87"/>
      <c r="G55" s="87"/>
      <c r="H55" s="87"/>
      <c r="I55" s="87"/>
      <c r="J55" s="87"/>
      <c r="K55" s="87"/>
      <c r="L55" s="87"/>
      <c r="M55" s="87"/>
    </row>
    <row r="56" spans="2:13" x14ac:dyDescent="0.35">
      <c r="B56" s="92" t="s">
        <v>245</v>
      </c>
      <c r="C56" s="92"/>
      <c r="D56" s="95">
        <v>1.3740000000000001</v>
      </c>
      <c r="E56" s="95">
        <v>74.688646288209611</v>
      </c>
      <c r="F56" s="95">
        <v>2.7480000000000002</v>
      </c>
      <c r="G56" s="95">
        <v>74.688646288209611</v>
      </c>
      <c r="H56" s="95">
        <v>2.3282500000000002</v>
      </c>
      <c r="I56" s="95">
        <v>71.739395468699669</v>
      </c>
      <c r="J56" s="95">
        <v>0.45624999999999999</v>
      </c>
      <c r="K56" s="95">
        <v>68.06</v>
      </c>
      <c r="L56" s="2">
        <v>0</v>
      </c>
      <c r="M56" s="2" t="s">
        <v>240</v>
      </c>
    </row>
    <row r="57" spans="2:13" ht="15" thickBot="1" x14ac:dyDescent="0.4">
      <c r="B57" s="92" t="s">
        <v>244</v>
      </c>
      <c r="C57" s="92"/>
      <c r="D57" s="95">
        <v>0.10199999999999999</v>
      </c>
      <c r="E57" s="2" t="s">
        <v>260</v>
      </c>
      <c r="F57" s="95">
        <v>0.20399999999999999</v>
      </c>
      <c r="G57" s="2" t="s">
        <v>260</v>
      </c>
      <c r="H57" s="95">
        <v>0.27374999999999999</v>
      </c>
      <c r="I57" s="2" t="s">
        <v>261</v>
      </c>
      <c r="J57" s="95">
        <v>0.36499999999999999</v>
      </c>
      <c r="K57" s="2" t="s">
        <v>261</v>
      </c>
      <c r="L57" s="2">
        <v>0</v>
      </c>
      <c r="M57" s="2" t="s">
        <v>240</v>
      </c>
    </row>
    <row r="58" spans="2:13" x14ac:dyDescent="0.35">
      <c r="B58" s="87"/>
      <c r="C58" s="87"/>
      <c r="D58" s="87"/>
      <c r="E58" s="87"/>
      <c r="F58" s="87"/>
      <c r="G58" s="87"/>
      <c r="H58" s="87"/>
      <c r="I58" s="87"/>
      <c r="J58" s="87"/>
      <c r="K58" s="87"/>
      <c r="L58" s="87"/>
      <c r="M58" s="87"/>
    </row>
    <row r="60" spans="2:13" x14ac:dyDescent="0.35">
      <c r="D60" s="123" t="s">
        <v>233</v>
      </c>
      <c r="E60" s="123"/>
      <c r="F60" s="123" t="s">
        <v>234</v>
      </c>
      <c r="G60" s="123"/>
      <c r="H60" s="123">
        <v>2026</v>
      </c>
      <c r="I60" s="123"/>
      <c r="J60" s="123">
        <v>2027</v>
      </c>
      <c r="K60" s="123"/>
      <c r="L60" s="123">
        <v>2028</v>
      </c>
      <c r="M60" s="123"/>
    </row>
    <row r="61" spans="2:13" x14ac:dyDescent="0.35">
      <c r="B61" s="122" t="s">
        <v>246</v>
      </c>
      <c r="C61" s="122"/>
      <c r="D61" s="105" t="s">
        <v>230</v>
      </c>
      <c r="E61" s="105" t="s">
        <v>231</v>
      </c>
      <c r="F61" s="105" t="s">
        <v>230</v>
      </c>
      <c r="G61" s="105" t="s">
        <v>232</v>
      </c>
      <c r="H61" s="105" t="s">
        <v>230</v>
      </c>
      <c r="I61" s="105" t="s">
        <v>232</v>
      </c>
      <c r="J61" s="105" t="s">
        <v>230</v>
      </c>
      <c r="K61" s="105" t="s">
        <v>232</v>
      </c>
      <c r="L61" s="105" t="s">
        <v>230</v>
      </c>
      <c r="M61" s="105" t="s">
        <v>232</v>
      </c>
    </row>
    <row r="62" spans="2:13" x14ac:dyDescent="0.35">
      <c r="D62" s="88" t="s">
        <v>239</v>
      </c>
      <c r="E62" s="88" t="s">
        <v>238</v>
      </c>
      <c r="F62" s="88" t="s">
        <v>239</v>
      </c>
      <c r="G62" s="88" t="s">
        <v>238</v>
      </c>
      <c r="H62" s="88" t="s">
        <v>239</v>
      </c>
      <c r="I62" s="88" t="s">
        <v>238</v>
      </c>
      <c r="J62" s="88" t="s">
        <v>239</v>
      </c>
      <c r="K62" s="88" t="s">
        <v>238</v>
      </c>
      <c r="L62" s="88" t="s">
        <v>239</v>
      </c>
      <c r="M62" s="88" t="s">
        <v>238</v>
      </c>
    </row>
    <row r="63" spans="2:13" ht="15" thickBot="1" x14ac:dyDescent="0.4">
      <c r="D63" s="88"/>
      <c r="E63" s="88"/>
      <c r="F63" s="88"/>
      <c r="G63" s="88"/>
      <c r="H63" s="88"/>
      <c r="I63" s="88"/>
      <c r="J63" s="88"/>
      <c r="K63" s="88"/>
      <c r="L63" s="88"/>
      <c r="M63" s="88"/>
    </row>
    <row r="64" spans="2:13" x14ac:dyDescent="0.35">
      <c r="B64" s="87" t="s">
        <v>7</v>
      </c>
      <c r="C64" s="87"/>
      <c r="D64" s="87"/>
      <c r="E64" s="87"/>
      <c r="F64" s="87"/>
      <c r="G64" s="87"/>
      <c r="H64" s="87"/>
      <c r="I64" s="87"/>
      <c r="J64" s="87"/>
      <c r="K64" s="87"/>
      <c r="L64" s="87"/>
      <c r="M64" s="87"/>
    </row>
    <row r="65" spans="2:13" x14ac:dyDescent="0.35">
      <c r="B65" s="92" t="s">
        <v>243</v>
      </c>
      <c r="C65" s="92"/>
      <c r="D65" s="95">
        <v>0.66519410758620678</v>
      </c>
      <c r="E65" s="95">
        <v>14.358124393366936</v>
      </c>
      <c r="F65" s="95">
        <v>1.319243917241379</v>
      </c>
      <c r="G65" s="95">
        <v>14.358124393366936</v>
      </c>
      <c r="H65" s="95">
        <v>1.0306593103448274</v>
      </c>
      <c r="I65" s="95">
        <v>11.546895314450364</v>
      </c>
      <c r="J65" s="95">
        <v>0.36073075862068954</v>
      </c>
      <c r="K65" s="95">
        <v>10.106871543692547</v>
      </c>
      <c r="L65" s="2">
        <v>0</v>
      </c>
      <c r="M65" s="2" t="s">
        <v>240</v>
      </c>
    </row>
    <row r="66" spans="2:13" ht="15" thickBot="1" x14ac:dyDescent="0.4">
      <c r="B66" s="92" t="s">
        <v>244</v>
      </c>
      <c r="C66" s="92"/>
      <c r="D66" s="95">
        <v>0.22086523103448272</v>
      </c>
      <c r="E66" s="2" t="s">
        <v>254</v>
      </c>
      <c r="F66" s="95">
        <v>0.43803020689655164</v>
      </c>
      <c r="G66" s="2" t="s">
        <v>254</v>
      </c>
      <c r="H66" s="95">
        <v>0.51532965517241369</v>
      </c>
      <c r="I66" s="2" t="s">
        <v>255</v>
      </c>
      <c r="J66" s="95">
        <v>0.36073075862068954</v>
      </c>
      <c r="K66" s="2" t="s">
        <v>256</v>
      </c>
      <c r="L66" s="2">
        <v>0</v>
      </c>
      <c r="M66" s="2" t="s">
        <v>240</v>
      </c>
    </row>
    <row r="67" spans="2:13" ht="15" thickBot="1" x14ac:dyDescent="0.4">
      <c r="B67" s="87"/>
      <c r="C67" s="87"/>
      <c r="D67" s="87"/>
      <c r="E67" s="87"/>
      <c r="F67" s="87"/>
      <c r="G67" s="87"/>
      <c r="H67" s="87"/>
      <c r="I67" s="87"/>
      <c r="J67" s="87"/>
      <c r="K67" s="87"/>
      <c r="L67" s="87"/>
      <c r="M67" s="87"/>
    </row>
    <row r="68" spans="2:13" x14ac:dyDescent="0.35">
      <c r="B68" s="87" t="s">
        <v>183</v>
      </c>
      <c r="C68" s="87"/>
      <c r="D68" s="87"/>
      <c r="E68" s="87"/>
      <c r="F68" s="87"/>
      <c r="G68" s="87"/>
      <c r="H68" s="87"/>
      <c r="I68" s="87"/>
      <c r="J68" s="87"/>
      <c r="K68" s="87"/>
      <c r="L68" s="87"/>
      <c r="M68" s="87"/>
    </row>
    <row r="69" spans="2:13" x14ac:dyDescent="0.35">
      <c r="B69" s="92" t="s">
        <v>245</v>
      </c>
      <c r="C69" s="92"/>
      <c r="D69" s="95">
        <v>1.68</v>
      </c>
      <c r="E69" s="95">
        <v>75.322142857142836</v>
      </c>
      <c r="F69" s="95">
        <v>3.36</v>
      </c>
      <c r="G69" s="95">
        <v>75.32214285714285</v>
      </c>
      <c r="H69" s="95">
        <v>1.97525</v>
      </c>
      <c r="I69" s="95">
        <v>71.940912542716106</v>
      </c>
      <c r="J69" s="95">
        <v>0.36499999999999999</v>
      </c>
      <c r="K69" s="95">
        <v>68.075000000000003</v>
      </c>
      <c r="L69" s="2">
        <v>0</v>
      </c>
      <c r="M69" s="2" t="s">
        <v>240</v>
      </c>
    </row>
    <row r="70" spans="2:13" ht="15" thickBot="1" x14ac:dyDescent="0.4">
      <c r="B70" s="92" t="s">
        <v>244</v>
      </c>
      <c r="C70" s="92"/>
      <c r="D70" s="95">
        <v>0.18</v>
      </c>
      <c r="E70" s="2" t="s">
        <v>262</v>
      </c>
      <c r="F70" s="95">
        <v>0.36</v>
      </c>
      <c r="G70" s="2" t="s">
        <v>262</v>
      </c>
      <c r="H70" s="2">
        <v>0</v>
      </c>
      <c r="I70" s="2" t="s">
        <v>240</v>
      </c>
      <c r="J70" s="95">
        <v>0.1825</v>
      </c>
      <c r="K70" s="2" t="s">
        <v>261</v>
      </c>
      <c r="L70" s="2">
        <v>0</v>
      </c>
      <c r="M70" s="2" t="s">
        <v>240</v>
      </c>
    </row>
    <row r="71" spans="2:13" x14ac:dyDescent="0.35">
      <c r="B71" s="87"/>
      <c r="C71" s="87"/>
      <c r="D71" s="87"/>
      <c r="E71" s="87"/>
      <c r="F71" s="87"/>
      <c r="G71" s="87"/>
      <c r="H71" s="87"/>
      <c r="I71" s="87"/>
      <c r="J71" s="87"/>
      <c r="K71" s="87"/>
      <c r="L71" s="87"/>
      <c r="M71" s="87"/>
    </row>
  </sheetData>
  <mergeCells count="52">
    <mergeCell ref="D22:E22"/>
    <mergeCell ref="F22:G22"/>
    <mergeCell ref="H22:I22"/>
    <mergeCell ref="J22:K22"/>
    <mergeCell ref="L22:M22"/>
    <mergeCell ref="D45:E45"/>
    <mergeCell ref="F45:G45"/>
    <mergeCell ref="H45:I45"/>
    <mergeCell ref="J45:K45"/>
    <mergeCell ref="L45:M45"/>
    <mergeCell ref="D32:E32"/>
    <mergeCell ref="F32:G32"/>
    <mergeCell ref="H32:I32"/>
    <mergeCell ref="J32:K32"/>
    <mergeCell ref="L32:M32"/>
    <mergeCell ref="D46:E46"/>
    <mergeCell ref="F46:G46"/>
    <mergeCell ref="H46:I46"/>
    <mergeCell ref="J46:K46"/>
    <mergeCell ref="L46:M46"/>
    <mergeCell ref="F15:G15"/>
    <mergeCell ref="B61:C61"/>
    <mergeCell ref="D11:E11"/>
    <mergeCell ref="B20:M20"/>
    <mergeCell ref="F11:G11"/>
    <mergeCell ref="L11:M11"/>
    <mergeCell ref="H11:I11"/>
    <mergeCell ref="J11:K11"/>
    <mergeCell ref="D60:E60"/>
    <mergeCell ref="F60:G60"/>
    <mergeCell ref="H60:I60"/>
    <mergeCell ref="J60:K60"/>
    <mergeCell ref="L60:M60"/>
    <mergeCell ref="B24:C24"/>
    <mergeCell ref="B34:C34"/>
    <mergeCell ref="B48:C48"/>
    <mergeCell ref="L13:M13"/>
    <mergeCell ref="L14:M14"/>
    <mergeCell ref="L15:M15"/>
    <mergeCell ref="B2:F2"/>
    <mergeCell ref="D9:M9"/>
    <mergeCell ref="H13:I13"/>
    <mergeCell ref="H14:I14"/>
    <mergeCell ref="H15:I15"/>
    <mergeCell ref="J13:K13"/>
    <mergeCell ref="J14:K14"/>
    <mergeCell ref="J15:K15"/>
    <mergeCell ref="D13:E13"/>
    <mergeCell ref="D14:E14"/>
    <mergeCell ref="D15:E15"/>
    <mergeCell ref="F13:G13"/>
    <mergeCell ref="F14:G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F709D0D4C8754A96668A25CB10EEFB" ma:contentTypeVersion="11" ma:contentTypeDescription="Create a new document." ma:contentTypeScope="" ma:versionID="21e26897a7819140d775b9e0db029c20">
  <xsd:schema xmlns:xsd="http://www.w3.org/2001/XMLSchema" xmlns:xs="http://www.w3.org/2001/XMLSchema" xmlns:p="http://schemas.microsoft.com/office/2006/metadata/properties" xmlns:ns2="4a0b9dd8-9e5b-4f7a-8290-87f9ab5ec1af" xmlns:ns3="3506c902-442b-479c-b4bc-90fd72070452" targetNamespace="http://schemas.microsoft.com/office/2006/metadata/properties" ma:root="true" ma:fieldsID="24b90a333edf6f21e91f1acfd092292f" ns2:_="" ns3:_="">
    <xsd:import namespace="4a0b9dd8-9e5b-4f7a-8290-87f9ab5ec1af"/>
    <xsd:import namespace="3506c902-442b-479c-b4bc-90fd720704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0b9dd8-9e5b-4f7a-8290-87f9ab5ec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06c902-442b-479c-b4bc-90fd7207045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70E482-E60A-414F-877F-6DF7D232098C}">
  <ds:schemaRefs>
    <ds:schemaRef ds:uri="http://purl.org/dc/elements/1.1/"/>
    <ds:schemaRef ds:uri="http://schemas.microsoft.com/office/2006/metadata/properties"/>
    <ds:schemaRef ds:uri="http://purl.org/dc/dcmitype/"/>
    <ds:schemaRef ds:uri="3506c902-442b-479c-b4bc-90fd72070452"/>
    <ds:schemaRef ds:uri="4a0b9dd8-9e5b-4f7a-8290-87f9ab5ec1af"/>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DFBFAB7-5188-4D91-95D4-D05C7109D5AD}">
  <ds:schemaRefs>
    <ds:schemaRef ds:uri="http://schemas.microsoft.com/sharepoint/v3/contenttype/forms"/>
  </ds:schemaRefs>
</ds:datastoreItem>
</file>

<file path=customXml/itemProps3.xml><?xml version="1.0" encoding="utf-8"?>
<ds:datastoreItem xmlns:ds="http://schemas.openxmlformats.org/officeDocument/2006/customXml" ds:itemID="{1EBB0933-0C86-49EF-9D2C-71FF8C3912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0b9dd8-9e5b-4f7a-8290-87f9ab5ec1af"/>
    <ds:schemaRef ds:uri="3506c902-442b-479c-b4bc-90fd720704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Financials</vt:lpstr>
      <vt:lpstr>Production, opex, capex</vt:lpstr>
      <vt:lpstr>Reserves and resources</vt:lpstr>
      <vt:lpstr>Realised prices</vt:lpstr>
      <vt:lpstr>Hedging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Leonhard Najda</dc:creator>
  <cp:keywords/>
  <dc:description/>
  <cp:lastModifiedBy>Iain MacEwen</cp:lastModifiedBy>
  <cp:revision/>
  <dcterms:created xsi:type="dcterms:W3CDTF">2025-03-21T10:58:40Z</dcterms:created>
  <dcterms:modified xsi:type="dcterms:W3CDTF">2025-08-12T09:13:14Z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0x010100A4F709D0D4C8754A96668A25CB10EEFB</vt:lpwstr>
  </property>
</Properties>
</file>